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_Nam tumani\хисоботлар\"/>
    </mc:Choice>
  </mc:AlternateContent>
  <bookViews>
    <workbookView xWindow="0" yWindow="0" windowWidth="28800" windowHeight="11835" tabRatio="775" activeTab="3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_FilterDatabase" localSheetId="1" hidden="1">'16.1-илова'!$A$5:$N$5</definedName>
    <definedName name="_xlnm._FilterDatabase" localSheetId="3" hidden="1">'16.2-илова'!$A$4:$R$33</definedName>
    <definedName name="_xlnm._FilterDatabase" localSheetId="2" hidden="1">'16-илова 2-жадвал'!$A$4:$H$119</definedName>
    <definedName name="_xlnm.Print_Titles" localSheetId="3">'16.2-илова'!$3:$4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/>
</workbook>
</file>

<file path=xl/calcChain.xml><?xml version="1.0" encoding="utf-8"?>
<calcChain xmlns="http://schemas.openxmlformats.org/spreadsheetml/2006/main">
  <c r="C25" i="1" l="1"/>
  <c r="C17" i="1"/>
  <c r="G14" i="2"/>
  <c r="E12" i="2" l="1"/>
  <c r="L22" i="3" l="1"/>
  <c r="J22" i="3"/>
  <c r="L13" i="3"/>
  <c r="J13" i="3"/>
  <c r="C9" i="1" l="1"/>
  <c r="H14" i="2"/>
  <c r="D15" i="2"/>
  <c r="C23" i="1"/>
  <c r="C8" i="1" l="1"/>
  <c r="F61" i="4" l="1"/>
  <c r="E61" i="4"/>
  <c r="C61" i="4"/>
  <c r="C50" i="4"/>
  <c r="C60" i="4"/>
  <c r="F60" i="4"/>
  <c r="E60" i="4"/>
  <c r="F53" i="4"/>
  <c r="E53" i="4"/>
  <c r="C53" i="4"/>
  <c r="M32" i="3"/>
  <c r="M31" i="3"/>
  <c r="M30" i="3"/>
  <c r="M29" i="3"/>
  <c r="M28" i="3"/>
  <c r="M27" i="3"/>
  <c r="K33" i="3"/>
  <c r="F33" i="3"/>
  <c r="E33" i="3"/>
  <c r="D33" i="3"/>
  <c r="C32" i="3"/>
  <c r="C31" i="3"/>
  <c r="C30" i="3"/>
  <c r="C29" i="3"/>
  <c r="C28" i="3"/>
  <c r="C27" i="3"/>
  <c r="A27" i="3"/>
  <c r="A28" i="3" s="1"/>
  <c r="A29" i="3" s="1"/>
  <c r="A30" i="3" s="1"/>
  <c r="A31" i="3" s="1"/>
  <c r="A32" i="3" s="1"/>
  <c r="C15" i="1" l="1"/>
  <c r="C11" i="1"/>
  <c r="F6" i="2"/>
  <c r="H12" i="2"/>
  <c r="J33" i="3" l="1"/>
  <c r="L33" i="3"/>
  <c r="H13" i="2"/>
  <c r="C12" i="1"/>
  <c r="C10" i="1"/>
  <c r="G9" i="2"/>
  <c r="F9" i="2"/>
  <c r="E9" i="2"/>
  <c r="G8" i="2"/>
  <c r="F8" i="2"/>
  <c r="E8" i="2"/>
  <c r="D8" i="2"/>
  <c r="G5" i="2"/>
  <c r="F5" i="2"/>
  <c r="E5" i="2"/>
  <c r="D5" i="2"/>
  <c r="I13" i="3"/>
  <c r="I22" i="3"/>
  <c r="I33" i="3" l="1"/>
  <c r="H5" i="2"/>
  <c r="M10" i="3"/>
  <c r="D9" i="2" l="1"/>
  <c r="H10" i="2"/>
  <c r="H6" i="2"/>
  <c r="F119" i="4" l="1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59" i="4"/>
  <c r="F58" i="4"/>
  <c r="F56" i="4"/>
  <c r="F55" i="4"/>
  <c r="F54" i="4"/>
  <c r="F52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59" i="4"/>
  <c r="G58" i="4"/>
  <c r="G57" i="4"/>
  <c r="G56" i="4"/>
  <c r="G55" i="4"/>
  <c r="G54" i="4"/>
  <c r="G52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59" i="4"/>
  <c r="C58" i="4"/>
  <c r="C57" i="4"/>
  <c r="C56" i="4"/>
  <c r="C55" i="4"/>
  <c r="C54" i="4"/>
  <c r="C52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A115" i="4"/>
  <c r="A116" i="4" s="1"/>
  <c r="A117" i="4" s="1"/>
  <c r="A118" i="4" s="1"/>
  <c r="A119" i="4" s="1"/>
  <c r="A107" i="4"/>
  <c r="A108" i="4" s="1"/>
  <c r="A109" i="4" s="1"/>
  <c r="A110" i="4" s="1"/>
  <c r="A111" i="4" s="1"/>
  <c r="A112" i="4" s="1"/>
  <c r="A113" i="4" s="1"/>
  <c r="A99" i="4"/>
  <c r="A100" i="4" s="1"/>
  <c r="A101" i="4" s="1"/>
  <c r="A102" i="4" s="1"/>
  <c r="A103" i="4" s="1"/>
  <c r="A104" i="4" s="1"/>
  <c r="A105" i="4" s="1"/>
  <c r="A106" i="4" s="1"/>
  <c r="A90" i="4"/>
  <c r="A91" i="4" s="1"/>
  <c r="A92" i="4" s="1"/>
  <c r="A93" i="4" s="1"/>
  <c r="A94" i="4" s="1"/>
  <c r="A95" i="4" s="1"/>
  <c r="A96" i="4" s="1"/>
  <c r="A97" i="4" s="1"/>
  <c r="A84" i="4"/>
  <c r="A85" i="4" s="1"/>
  <c r="A86" i="4" s="1"/>
  <c r="A87" i="4" s="1"/>
  <c r="A88" i="4" s="1"/>
  <c r="A78" i="4"/>
  <c r="A79" i="4" s="1"/>
  <c r="A80" i="4" s="1"/>
  <c r="A81" i="4" s="1"/>
  <c r="A82" i="4" s="1"/>
  <c r="A83" i="4" s="1"/>
  <c r="A74" i="4"/>
  <c r="A75" i="4" s="1"/>
  <c r="A76" i="4" s="1"/>
  <c r="A77" i="4" s="1"/>
  <c r="A64" i="4"/>
  <c r="A65" i="4" s="1"/>
  <c r="A66" i="4" s="1"/>
  <c r="A67" i="4" s="1"/>
  <c r="A68" i="4" s="1"/>
  <c r="A69" i="4" s="1"/>
  <c r="A70" i="4" s="1"/>
  <c r="A71" i="4" s="1"/>
  <c r="A72" i="4" s="1"/>
  <c r="A51" i="4"/>
  <c r="A52" i="4" s="1"/>
  <c r="A53" i="4" s="1"/>
  <c r="A55" i="4" s="1"/>
  <c r="A56" i="4" s="1"/>
  <c r="A58" i="4" s="1"/>
  <c r="A59" i="4" s="1"/>
  <c r="A61" i="4" s="1"/>
  <c r="A42" i="4"/>
  <c r="A43" i="4" s="1"/>
  <c r="A44" i="4" s="1"/>
  <c r="A45" i="4" s="1"/>
  <c r="A46" i="4" s="1"/>
  <c r="A47" i="4" s="1"/>
  <c r="A34" i="4"/>
  <c r="A35" i="4" s="1"/>
  <c r="A36" i="4" s="1"/>
  <c r="A37" i="4" s="1"/>
  <c r="A38" i="4" s="1"/>
  <c r="A39" i="4" s="1"/>
  <c r="A40" i="4" s="1"/>
  <c r="A24" i="4"/>
  <c r="A25" i="4" s="1"/>
  <c r="A26" i="4" s="1"/>
  <c r="A27" i="4" s="1"/>
  <c r="A28" i="4" s="1"/>
  <c r="A29" i="4" s="1"/>
  <c r="A30" i="4" s="1"/>
  <c r="A31" i="4" s="1"/>
  <c r="A32" i="4" s="1"/>
  <c r="A14" i="4"/>
  <c r="A15" i="4" s="1"/>
  <c r="A16" i="4" s="1"/>
  <c r="A17" i="4" s="1"/>
  <c r="A18" i="4" s="1"/>
  <c r="A19" i="4" s="1"/>
  <c r="A20" i="4" s="1"/>
  <c r="A21" i="4" s="1"/>
  <c r="A22" i="4" s="1"/>
  <c r="A7" i="4"/>
  <c r="A8" i="4" s="1"/>
  <c r="A9" i="4" s="1"/>
  <c r="A10" i="4" s="1"/>
  <c r="A11" i="4" s="1"/>
  <c r="A12" i="4" s="1"/>
  <c r="F62" i="4" l="1"/>
  <c r="G62" i="4"/>
  <c r="C62" i="4"/>
  <c r="C33" i="3" l="1"/>
  <c r="M26" i="3" l="1"/>
  <c r="C26" i="3"/>
  <c r="M25" i="3"/>
  <c r="C25" i="3"/>
  <c r="M24" i="3"/>
  <c r="C24" i="3"/>
  <c r="M23" i="3"/>
  <c r="C23" i="3"/>
  <c r="M22" i="3"/>
  <c r="C22" i="3"/>
  <c r="M21" i="3"/>
  <c r="C21" i="3"/>
  <c r="M20" i="3"/>
  <c r="C20" i="3"/>
  <c r="M19" i="3"/>
  <c r="C19" i="3"/>
  <c r="M18" i="3"/>
  <c r="C18" i="3"/>
  <c r="M17" i="3"/>
  <c r="C17" i="3"/>
  <c r="M16" i="3"/>
  <c r="C16" i="3"/>
  <c r="M15" i="3"/>
  <c r="C15" i="3"/>
  <c r="M14" i="3"/>
  <c r="C14" i="3"/>
  <c r="M13" i="3"/>
  <c r="C13" i="3"/>
  <c r="M12" i="3"/>
  <c r="C12" i="3"/>
  <c r="M11" i="3"/>
  <c r="C11" i="3"/>
  <c r="G7" i="2" l="1"/>
  <c r="G15" i="2" s="1"/>
  <c r="F7" i="2"/>
  <c r="F15" i="2" s="1"/>
  <c r="H8" i="2"/>
  <c r="I8" i="2" s="1"/>
  <c r="E7" i="2"/>
  <c r="E15" i="2" s="1"/>
  <c r="D7" i="2"/>
  <c r="G11" i="2"/>
  <c r="F11" i="2"/>
  <c r="E11" i="2"/>
  <c r="D11" i="2"/>
  <c r="H9" i="2" l="1"/>
  <c r="H7" i="2"/>
  <c r="H15" i="2" s="1"/>
  <c r="H11" i="2"/>
  <c r="C18" i="1" l="1"/>
  <c r="C20" i="1"/>
  <c r="C22" i="1"/>
  <c r="C14" i="1"/>
  <c r="C6" i="1" l="1"/>
  <c r="C24" i="1" l="1"/>
  <c r="M9" i="3"/>
  <c r="M8" i="3"/>
  <c r="M7" i="3"/>
  <c r="M6" i="3"/>
  <c r="M5" i="3"/>
  <c r="M33" i="3" l="1"/>
  <c r="C10" i="3"/>
  <c r="C9" i="3"/>
  <c r="C8" i="3"/>
  <c r="C7" i="3"/>
  <c r="C6" i="3"/>
  <c r="C5" i="3"/>
  <c r="I11" i="2"/>
  <c r="I9" i="2"/>
  <c r="I5" i="2"/>
  <c r="I7" i="2" l="1"/>
  <c r="I15" i="2" s="1"/>
</calcChain>
</file>

<file path=xl/sharedStrings.xml><?xml version="1.0" encoding="utf-8"?>
<sst xmlns="http://schemas.openxmlformats.org/spreadsheetml/2006/main" count="294" uniqueCount="140">
  <si>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</si>
  <si>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</si>
  <si>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</si>
  <si>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</si>
  <si>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</si>
  <si>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</si>
  <si>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</si>
  <si>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</si>
  <si>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</si>
  <si>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</si>
  <si>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1-жадвал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</si>
  <si>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</si>
  <si>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</si>
  <si>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</si>
  <si>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</si>
  <si>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</si>
  <si>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</si>
  <si>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</si>
  <si>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</si>
  <si>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</si>
  <si>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</si>
  <si>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</si>
  <si>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</si>
  <si>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</si>
  <si>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</si>
  <si>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</si>
  <si>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2.1.</t>
  </si>
  <si>
    <t>эркин қолдиқ маблағлари</t>
  </si>
  <si>
    <t>2.2.</t>
  </si>
  <si>
    <t>Жами ажратиладиган маблағлар</t>
  </si>
  <si>
    <t>Тадбирнинг хос рақами (ID)</t>
  </si>
  <si>
    <t>шундан</t>
  </si>
  <si>
    <t>Тадбирнинг қисқача мазмуни (соҳаси)</t>
  </si>
  <si>
    <t>онлайн овозлар</t>
  </si>
  <si>
    <t>офлайн овозлар</t>
  </si>
  <si>
    <t>SMS орқали</t>
  </si>
  <si>
    <t>Тадбирни молиялаштириш учун очилган ҳисобварақ</t>
  </si>
  <si>
    <t>Тадбирнинг фуқаро томонидан киритилган дастлабки қиймати</t>
  </si>
  <si>
    <t>Ажратилган маблағлар</t>
  </si>
  <si>
    <t>Бажарилган ишлар учун тўлаб берилган маблағлар</t>
  </si>
  <si>
    <t>Қолдиқ маблағлар</t>
  </si>
  <si>
    <t>Молиялаштирилган таклифлар
сони</t>
  </si>
  <si>
    <t>МАЪЛУМОТ</t>
  </si>
  <si>
    <t>Наманган тумани</t>
  </si>
  <si>
    <t>Шаҳар ва туманлар бюджетнинг 5 фоизи</t>
  </si>
  <si>
    <t>Шаҳар ва туманларда йил бошига шаклланган эркин қолдиқ мабдағларидан 30 фоизи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</si>
  <si>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(млн.сўм)</t>
    </r>
  </si>
  <si>
    <t>Тадбирнинг молиялаштирилиши (млн.сўм)</t>
  </si>
  <si>
    <t>х</t>
  </si>
  <si>
    <t>Умумтаълим мактабларини таъмирлаш ва моддий-техника базасини ривожлантириш тадбирлари</t>
  </si>
  <si>
    <t>Мактабгача таълим муассасаларини таъмирлаш ва моддий-техника базасини ривожлантириш тадбирлари</t>
  </si>
  <si>
    <t>Соғлиқни сақлаш муассасаларини таъмирлаш ва моддий-техника базасини ривожлантириш тадбирлари</t>
  </si>
  <si>
    <t>Бошқа таълим муассасаларини таъмирлаш ва моддий-техника базасини ривожлантириш тадбирлари</t>
  </si>
  <si>
    <t>Болалар майдончаларини (ўйингоҳларини) барпо этиш ёки таъмирлаш билан боғлиқ тадбирлар</t>
  </si>
  <si>
    <t>Ички йўлларни (пиёдалар йўлакчаси, йўл ўтказгичлар) таъмирлаш билан боғлиқ тадбирлар</t>
  </si>
  <si>
    <t>Наманган тумани жами</t>
  </si>
  <si>
    <t>Ахоли дам олиш масканларини таъмирлаш ёки моддий-техник базасини ривожлантириш билан боғлиқ тадбирлар</t>
  </si>
  <si>
    <t>Ичимлик суви ва оқава тизимини яхшилаш билан боғлиқ тадбирлар</t>
  </si>
  <si>
    <t>Кўча чироқларини ўрнатиш ёки таъмирлаш билан боғлиқ тадбирлар</t>
  </si>
  <si>
    <t>Қабристонларни тартибга келтириш тадбирлари</t>
  </si>
  <si>
    <t>Қонун хужжатлари билан белгиланган мезонларга мувофиқ бошқа тадбирлар</t>
  </si>
  <si>
    <t>Маҳалла гузари (маҳаллада умумфойдаланишда бўлган бошқа объектлар) ни таъмирлаш-тиклаш билан боғлиқ харажатлар</t>
  </si>
  <si>
    <t>Олий ўқув юртларини таъмирлаш ва моддий-техника базасини ривожлантириш тадбирлари</t>
  </si>
  <si>
    <t>ажратилган маблағлар</t>
  </si>
  <si>
    <t>Жамиғолиб таклифлар тўплаган овозлар сони</t>
  </si>
  <si>
    <t>Тадбирни амалга ошириш қиймати
(Тузилган шартнома)</t>
  </si>
  <si>
    <t>дона</t>
  </si>
  <si>
    <t>км</t>
  </si>
  <si>
    <t>Наманган тумани 2023 йил</t>
  </si>
  <si>
    <t>Туман  бюджетининг қўшимча манбаларининг 30 фоизи миқдорида ажратиладиган маблағлар</t>
  </si>
  <si>
    <t>Даромадларнинг ҳисобот чораклари якунлари бўйича аниқланадиган прогноздан ошириб бажарилган қисми</t>
  </si>
  <si>
    <t>0012156007</t>
  </si>
  <si>
    <t>0019513007</t>
  </si>
  <si>
    <t>00117823007</t>
  </si>
  <si>
    <t>0019487007</t>
  </si>
  <si>
    <t>00117791007</t>
  </si>
  <si>
    <t>00117550007</t>
  </si>
  <si>
    <t>0019517007</t>
  </si>
  <si>
    <t>00153224007</t>
  </si>
  <si>
    <t>0016305007</t>
  </si>
  <si>
    <t>00144964007</t>
  </si>
  <si>
    <t>00120844007</t>
  </si>
  <si>
    <t>00136334007</t>
  </si>
  <si>
    <t>00111996007</t>
  </si>
  <si>
    <t>0019624007</t>
  </si>
  <si>
    <t>00112353007</t>
  </si>
  <si>
    <t>0013823007</t>
  </si>
  <si>
    <t>00110085007</t>
  </si>
  <si>
    <t>00111946007</t>
  </si>
  <si>
    <t>00111789007</t>
  </si>
  <si>
    <t>00125145007</t>
  </si>
  <si>
    <t>00112142007</t>
  </si>
  <si>
    <t>00116131007</t>
  </si>
  <si>
    <t>401722860142127092100072001</t>
  </si>
  <si>
    <t>401722860142127092100072003</t>
  </si>
  <si>
    <t>401722860142127092100072005</t>
  </si>
  <si>
    <t>401722860142127092100072007</t>
  </si>
  <si>
    <t>401722860142127092100072033</t>
  </si>
  <si>
    <t>401722860142127082102134001</t>
  </si>
  <si>
    <t>401722860142127092100072009</t>
  </si>
  <si>
    <t>401722860142127073101054005</t>
  </si>
  <si>
    <t>401722860142127092100072011</t>
  </si>
  <si>
    <t>401722860142127073402054002</t>
  </si>
  <si>
    <t>401722860142127072120054002</t>
  </si>
  <si>
    <t>401722860142127092100072013</t>
  </si>
  <si>
    <t>401722860142127092100072015</t>
  </si>
  <si>
    <t>401722860142127092100072017</t>
  </si>
  <si>
    <t>401722860142127092100072019</t>
  </si>
  <si>
    <t>401722860142127045204118006</t>
  </si>
  <si>
    <t>401722860142127092100072021</t>
  </si>
  <si>
    <t>401722860142127092100072023</t>
  </si>
  <si>
    <t>401722860142127092100072025</t>
  </si>
  <si>
    <t>401722860142127092100072027</t>
  </si>
  <si>
    <t>401722860142127092100072029</t>
  </si>
  <si>
    <t>401722860142127092100072031</t>
  </si>
  <si>
    <t xml:space="preserve">смета йук </t>
  </si>
  <si>
    <t>Бошқа муассасаларни  таъмирлаш ва моддий-техника базасини ривожлантириш тадбирлари</t>
  </si>
  <si>
    <t>Ички хужалик йулларни тамирлаш тадбирлари</t>
  </si>
  <si>
    <t>Наманган тумани 2023 йил 1-2-3-чораклар даромадлар режасини ортириб бажарган маблағларидан 30 фоизи</t>
  </si>
  <si>
    <t>Ўзбекистон Республика президентининг ПҚ-117 сонли қарорига асосан</t>
  </si>
  <si>
    <t>Ўзбекистон Республикаси Президентининг ПҚ-117-сонли қарорига асосан ажратилган маблағ</t>
  </si>
  <si>
    <t>031258537007</t>
  </si>
  <si>
    <t>031262156007</t>
  </si>
  <si>
    <t>031259357007</t>
  </si>
  <si>
    <t>031260344007</t>
  </si>
  <si>
    <t xml:space="preserve"> 031287997007</t>
  </si>
  <si>
    <t xml:space="preserve"> 031260260007</t>
  </si>
  <si>
    <t>Маданият  муассасаларини таъмирлаш ва моддий-техника базасини ривожлантириш тадбирлари</t>
  </si>
  <si>
    <t>401722860142127045204118007</t>
  </si>
  <si>
    <t>401722860142127092100072037</t>
  </si>
  <si>
    <t>401722860142127092100072038</t>
  </si>
  <si>
    <t>401722860142127072120054003</t>
  </si>
  <si>
    <t>401722860142127011401091001</t>
  </si>
  <si>
    <t>401722860142127072130054001</t>
  </si>
  <si>
    <t>Маданият муассасаларини таъмирлаш ва моддий-техника базасини ривожлантириш тадбирлари</t>
  </si>
  <si>
    <t xml:space="preserve">Иқтисод қилинган маблағлар тушуми </t>
  </si>
  <si>
    <t>2023 йил 4-чорак Наманган туманда Ташаббусли бюджетлаштириш натижалари бўйича</t>
  </si>
  <si>
    <t>2023 йил 4-чорак Наманган туманда "Фуқаролар ташаббуси жамғармаси" маблағларини шакллантирилиши юзасидан
МАЪЛУМОТ</t>
  </si>
  <si>
    <t>2023 йил  4-чорак Наманган туманда "Фуқаролар ташаббуси жамғармаси" маблағларини шакллантирилиши юзасидан</t>
  </si>
  <si>
    <t>2023 йил 4-чорак  Наманган туманда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</si>
</sst>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\ _p_._-;\-* #,##0.00\ _p_._-;_-* &quot;-&quot;??\ _p_._-;_-@_-"/>
    <numFmt numFmtId="167" formatCode="#,##0.00000000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medium">
        <color rgb="FF002060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165" fontId="1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4" fillId="0" borderId="0" xfId="0" applyFont="1" applyAlignment="1">
      <alignment horizontal="right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5" fillId="2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6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0" fontId="5" fillId="0" borderId="17" xfId="3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64" fontId="7" fillId="0" borderId="18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&#1054;&#1093;&#1080;&#1088;&#1075;&#1080;%20&#1101;&#1090;&#1072;&#1087;%20&#1084;&#1086;&#1083;&#1080;&#1103;&#1083;&#1072;&#1096;&#1090;&#1080;&#1088;&#1080;&#1096;\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neral\&#1064;.&#1059;&#1089;&#1084;&#1072;&#1085;&#1086;&#1074;\2021%20&#1081;&#1080;&#1083;\01.&#1052;&#1072;&#1088;&#1082;&#1072;&#1079;&#1083;&#1072;&#1096;&#1075;&#1072;&#1085;%20&#1090;&#1086;&#1087;&#1096;&#1080;&#1088;&#1080;&#1179;&#1083;&#1072;&#1088;\06.&#1086;&#1087;&#1077;&#1085;&#1073;&#1102;&#1076;&#1078;&#1077;&#1090;\&#1047;&#1072;&#1076;&#1072;&#1085;&#1080;&#1077;\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07.08%20&#1089;&#1074;&#1086;&#1076;&#1082;&#1072;\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C2"/>
    </sheetView>
  </sheetViews>
  <sheetFormatPr defaultColWidth="57.5703125" defaultRowHeight="15" outlineLevelRow="1" x14ac:dyDescent="0.25"/>
  <cols>
    <col min="1" max="1" width="7.28515625" style="1" customWidth="1"/>
    <col min="2" max="2" width="71.7109375" style="1" customWidth="1"/>
    <col min="3" max="3" width="16.85546875" style="1" customWidth="1"/>
    <col min="4" max="16384" width="57.5703125" style="1"/>
  </cols>
  <sheetData>
    <row r="1" spans="1:5" ht="47.25" customHeight="1" x14ac:dyDescent="0.25">
      <c r="A1" s="106" t="s">
        <v>136</v>
      </c>
      <c r="B1" s="106"/>
      <c r="C1" s="106"/>
    </row>
    <row r="2" spans="1:5" ht="20.25" x14ac:dyDescent="0.25">
      <c r="A2" s="106" t="s">
        <v>42</v>
      </c>
      <c r="B2" s="106"/>
      <c r="C2" s="106"/>
    </row>
    <row r="3" spans="1:5" ht="32.25" customHeight="1" thickBot="1" x14ac:dyDescent="0.3">
      <c r="C3" s="40" t="s">
        <v>10</v>
      </c>
    </row>
    <row r="4" spans="1:5" ht="27" customHeight="1" x14ac:dyDescent="0.25">
      <c r="A4" s="102" t="s">
        <v>0</v>
      </c>
      <c r="B4" s="104" t="s">
        <v>1</v>
      </c>
      <c r="C4" s="100" t="s">
        <v>46</v>
      </c>
    </row>
    <row r="5" spans="1:5" ht="28.5" customHeight="1" thickBot="1" x14ac:dyDescent="0.3">
      <c r="A5" s="103"/>
      <c r="B5" s="105"/>
      <c r="C5" s="101"/>
    </row>
    <row r="6" spans="1:5" ht="48" customHeight="1" x14ac:dyDescent="0.25">
      <c r="A6" s="14">
        <v>1</v>
      </c>
      <c r="B6" s="33" t="s">
        <v>2</v>
      </c>
      <c r="C6" s="63">
        <f>+SUM(C7:C7)</f>
        <v>890</v>
      </c>
    </row>
    <row r="7" spans="1:5" ht="18.75" outlineLevel="1" x14ac:dyDescent="0.25">
      <c r="A7" s="5"/>
      <c r="B7" s="32" t="s">
        <v>43</v>
      </c>
      <c r="C7" s="61">
        <v>890</v>
      </c>
    </row>
    <row r="8" spans="1:5" ht="40.5" customHeight="1" x14ac:dyDescent="0.25">
      <c r="A8" s="15">
        <v>2</v>
      </c>
      <c r="B8" s="35" t="s">
        <v>3</v>
      </c>
      <c r="C8" s="34">
        <f>+SUM(C9:C9)</f>
        <v>21501.661999999997</v>
      </c>
    </row>
    <row r="9" spans="1:5" ht="18.75" outlineLevel="1" x14ac:dyDescent="0.25">
      <c r="A9" s="15"/>
      <c r="B9" s="39" t="s">
        <v>43</v>
      </c>
      <c r="C9" s="44">
        <f>+C10+C12+C14+C17+C16</f>
        <v>21501.661999999997</v>
      </c>
    </row>
    <row r="10" spans="1:5" ht="40.5" customHeight="1" x14ac:dyDescent="0.25">
      <c r="A10" s="38">
        <v>2.1</v>
      </c>
      <c r="B10" s="36" t="s">
        <v>44</v>
      </c>
      <c r="C10" s="37">
        <f>+C11</f>
        <v>11163.72</v>
      </c>
    </row>
    <row r="11" spans="1:5" ht="18.75" outlineLevel="1" x14ac:dyDescent="0.25">
      <c r="A11" s="16"/>
      <c r="B11" s="39" t="s">
        <v>68</v>
      </c>
      <c r="C11" s="44">
        <f>5581.86+5581.86</f>
        <v>11163.72</v>
      </c>
    </row>
    <row r="12" spans="1:5" ht="40.5" customHeight="1" x14ac:dyDescent="0.25">
      <c r="A12" s="38">
        <v>2.2000000000000002</v>
      </c>
      <c r="B12" s="36" t="s">
        <v>45</v>
      </c>
      <c r="C12" s="37">
        <f>+C13</f>
        <v>235</v>
      </c>
    </row>
    <row r="13" spans="1:5" ht="40.5" customHeight="1" outlineLevel="1" x14ac:dyDescent="0.25">
      <c r="A13" s="16"/>
      <c r="B13" s="39" t="s">
        <v>68</v>
      </c>
      <c r="C13" s="44">
        <v>235</v>
      </c>
    </row>
    <row r="14" spans="1:5" ht="54.75" customHeight="1" x14ac:dyDescent="0.25">
      <c r="A14" s="38">
        <v>2.2999999999999998</v>
      </c>
      <c r="B14" s="36" t="s">
        <v>118</v>
      </c>
      <c r="C14" s="37">
        <f>+SUM(C15:C15)</f>
        <v>287.24200000000002</v>
      </c>
    </row>
    <row r="15" spans="1:5" ht="19.5" outlineLevel="1" x14ac:dyDescent="0.25">
      <c r="A15" s="38"/>
      <c r="B15" s="39" t="s">
        <v>43</v>
      </c>
      <c r="C15" s="44">
        <f>284+3.242</f>
        <v>287.24200000000002</v>
      </c>
      <c r="D15" s="64"/>
      <c r="E15" s="64"/>
    </row>
    <row r="16" spans="1:5" ht="37.5" outlineLevel="1" x14ac:dyDescent="0.25">
      <c r="A16" s="38">
        <v>2.4</v>
      </c>
      <c r="B16" s="83" t="s">
        <v>120</v>
      </c>
      <c r="C16" s="44">
        <v>8290.7999999999993</v>
      </c>
      <c r="D16" s="64"/>
      <c r="E16" s="64"/>
    </row>
    <row r="17" spans="1:5" ht="19.5" outlineLevel="1" x14ac:dyDescent="0.25">
      <c r="A17" s="38">
        <v>2.5</v>
      </c>
      <c r="B17" s="83" t="s">
        <v>135</v>
      </c>
      <c r="C17" s="44">
        <f>1524.9</f>
        <v>1524.9</v>
      </c>
      <c r="D17" s="64"/>
      <c r="E17" s="64"/>
    </row>
    <row r="18" spans="1:5" ht="56.25" x14ac:dyDescent="0.25">
      <c r="A18" s="15">
        <v>3</v>
      </c>
      <c r="B18" s="35" t="s">
        <v>4</v>
      </c>
      <c r="C18" s="84">
        <f>+SUM(C19:C19)</f>
        <v>21501.599999999999</v>
      </c>
    </row>
    <row r="19" spans="1:5" ht="18.75" outlineLevel="1" x14ac:dyDescent="0.25">
      <c r="A19" s="8"/>
      <c r="B19" s="39" t="s">
        <v>43</v>
      </c>
      <c r="C19" s="85">
        <v>21501.599999999999</v>
      </c>
    </row>
    <row r="20" spans="1:5" ht="58.5" x14ac:dyDescent="0.25">
      <c r="A20" s="38" t="s">
        <v>5</v>
      </c>
      <c r="B20" s="42" t="s">
        <v>6</v>
      </c>
      <c r="C20" s="86">
        <f>+SUM(C21:C21)</f>
        <v>18152.599999999999</v>
      </c>
    </row>
    <row r="21" spans="1:5" ht="18.75" outlineLevel="1" x14ac:dyDescent="0.25">
      <c r="A21" s="16"/>
      <c r="B21" s="18" t="s">
        <v>43</v>
      </c>
      <c r="C21" s="85">
        <v>18152.599999999999</v>
      </c>
    </row>
    <row r="22" spans="1:5" ht="58.5" x14ac:dyDescent="0.25">
      <c r="A22" s="38" t="s">
        <v>7</v>
      </c>
      <c r="B22" s="42" t="s">
        <v>8</v>
      </c>
      <c r="C22" s="37">
        <f>+SUM(C23:C23)</f>
        <v>3349</v>
      </c>
    </row>
    <row r="23" spans="1:5" ht="18.75" outlineLevel="1" x14ac:dyDescent="0.25">
      <c r="A23" s="17"/>
      <c r="B23" s="19" t="s">
        <v>43</v>
      </c>
      <c r="C23" s="62">
        <f>+C19-C21</f>
        <v>3349</v>
      </c>
    </row>
    <row r="24" spans="1:5" ht="39.75" thickBot="1" x14ac:dyDescent="0.3">
      <c r="A24" s="41">
        <v>4</v>
      </c>
      <c r="B24" s="45" t="s">
        <v>9</v>
      </c>
      <c r="C24" s="46">
        <f>+SUM(C25:C25)</f>
        <v>694.46199999999806</v>
      </c>
      <c r="D24" s="93"/>
    </row>
    <row r="25" spans="1:5" ht="19.5" outlineLevel="1" x14ac:dyDescent="0.25">
      <c r="A25" s="38"/>
      <c r="B25" s="42" t="s">
        <v>43</v>
      </c>
      <c r="C25" s="37">
        <f>+C6+C8-C18-195.6</f>
        <v>694.46199999999806</v>
      </c>
      <c r="D25" s="64"/>
      <c r="E25" s="47"/>
    </row>
    <row r="28" spans="1:5" x14ac:dyDescent="0.25">
      <c r="C28" s="47"/>
    </row>
  </sheetData>
  <mergeCells count="5">
    <mergeCell ref="C4:C5"/>
    <mergeCell ref="A4:A5"/>
    <mergeCell ref="B4:B5"/>
    <mergeCell ref="A1:C1"/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5" outlineLevelRow="1" x14ac:dyDescent="0.25"/>
  <cols>
    <col min="1" max="1" width="6.28515625" style="2" customWidth="1"/>
    <col min="2" max="2" width="13.42578125" style="2" customWidth="1"/>
    <col min="3" max="3" width="49.28515625" style="2" customWidth="1"/>
    <col min="4" max="7" width="19.5703125" style="2" customWidth="1"/>
    <col min="8" max="8" width="34.42578125" style="2" customWidth="1"/>
    <col min="9" max="9" width="24" style="2" customWidth="1"/>
    <col min="10" max="10" width="32.28515625" style="2" customWidth="1"/>
    <col min="11" max="16384" width="9.140625" style="2"/>
  </cols>
  <sheetData>
    <row r="1" spans="1:12" ht="52.5" customHeight="1" x14ac:dyDescent="0.25">
      <c r="A1" s="107" t="s">
        <v>137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</row>
    <row r="3" spans="1:12" ht="68.25" customHeight="1" x14ac:dyDescent="0.25">
      <c r="A3" s="102" t="s">
        <v>0</v>
      </c>
      <c r="B3" s="104" t="s">
        <v>16</v>
      </c>
      <c r="C3" s="104"/>
      <c r="D3" s="104" t="s">
        <v>17</v>
      </c>
      <c r="E3" s="104"/>
      <c r="F3" s="104"/>
      <c r="G3" s="104"/>
      <c r="H3" s="104" t="s">
        <v>18</v>
      </c>
      <c r="I3" s="104" t="s">
        <v>19</v>
      </c>
      <c r="J3" s="108" t="s">
        <v>20</v>
      </c>
    </row>
    <row r="4" spans="1:12" ht="54.75" customHeight="1" thickBot="1" x14ac:dyDescent="0.3">
      <c r="A4" s="103"/>
      <c r="B4" s="105"/>
      <c r="C4" s="105"/>
      <c r="D4" s="4" t="s">
        <v>21</v>
      </c>
      <c r="E4" s="4" t="s">
        <v>22</v>
      </c>
      <c r="F4" s="4" t="s">
        <v>23</v>
      </c>
      <c r="G4" s="4" t="s">
        <v>24</v>
      </c>
      <c r="H4" s="105"/>
      <c r="I4" s="105"/>
      <c r="J4" s="109"/>
    </row>
    <row r="5" spans="1:12" ht="56.25" customHeight="1" x14ac:dyDescent="0.25">
      <c r="A5" s="14">
        <v>1</v>
      </c>
      <c r="B5" s="112" t="s">
        <v>25</v>
      </c>
      <c r="C5" s="112"/>
      <c r="D5" s="52">
        <f>+D6</f>
        <v>5581.86</v>
      </c>
      <c r="E5" s="52">
        <f t="shared" ref="E5:G5" si="0">+E6</f>
        <v>0</v>
      </c>
      <c r="F5" s="52">
        <f t="shared" si="0"/>
        <v>5581.8</v>
      </c>
      <c r="G5" s="52">
        <f t="shared" si="0"/>
        <v>0</v>
      </c>
      <c r="H5" s="51">
        <f t="shared" ref="H5:H14" si="1">+SUM(D5:G5)</f>
        <v>11163.66</v>
      </c>
      <c r="I5" s="51">
        <f>+H5-SUM(D5:G5)</f>
        <v>0</v>
      </c>
      <c r="J5" s="7"/>
    </row>
    <row r="6" spans="1:12" s="50" customFormat="1" ht="18.75" outlineLevel="1" x14ac:dyDescent="0.25">
      <c r="A6" s="48"/>
      <c r="B6" s="110" t="s">
        <v>68</v>
      </c>
      <c r="C6" s="111"/>
      <c r="D6" s="51">
        <v>5581.86</v>
      </c>
      <c r="E6" s="51"/>
      <c r="F6" s="51">
        <f>2000+3581.8</f>
        <v>5581.8</v>
      </c>
      <c r="G6" s="53"/>
      <c r="H6" s="51">
        <f t="shared" si="1"/>
        <v>11163.66</v>
      </c>
      <c r="I6" s="51"/>
      <c r="J6" s="49"/>
    </row>
    <row r="7" spans="1:12" ht="56.25" customHeight="1" x14ac:dyDescent="0.25">
      <c r="A7" s="15">
        <v>2</v>
      </c>
      <c r="B7" s="113" t="s">
        <v>69</v>
      </c>
      <c r="C7" s="113"/>
      <c r="D7" s="54">
        <f>+SUM(D8:D8)</f>
        <v>238.24199999999999</v>
      </c>
      <c r="E7" s="54">
        <f>+SUM(E8:E8)</f>
        <v>284</v>
      </c>
      <c r="F7" s="54">
        <f>+SUM(F8:F8)</f>
        <v>0</v>
      </c>
      <c r="G7" s="54">
        <f>+SUM(G8:G8)</f>
        <v>0</v>
      </c>
      <c r="H7" s="54">
        <f t="shared" si="1"/>
        <v>522.24199999999996</v>
      </c>
      <c r="I7" s="52">
        <f t="shared" ref="I7:I11" si="2">+H7-SUM(D7:G7)</f>
        <v>0</v>
      </c>
      <c r="J7" s="10"/>
    </row>
    <row r="8" spans="1:12" ht="56.25" customHeight="1" outlineLevel="1" x14ac:dyDescent="0.25">
      <c r="A8" s="15"/>
      <c r="B8" s="110" t="s">
        <v>43</v>
      </c>
      <c r="C8" s="111"/>
      <c r="D8" s="55">
        <f>+D12+D10</f>
        <v>238.24199999999999</v>
      </c>
      <c r="E8" s="55">
        <f t="shared" ref="E8:G8" si="3">+E12+E10</f>
        <v>284</v>
      </c>
      <c r="F8" s="55">
        <f t="shared" si="3"/>
        <v>0</v>
      </c>
      <c r="G8" s="55">
        <f t="shared" si="3"/>
        <v>0</v>
      </c>
      <c r="H8" s="52">
        <f t="shared" si="1"/>
        <v>522.24199999999996</v>
      </c>
      <c r="I8" s="52">
        <f t="shared" si="2"/>
        <v>0</v>
      </c>
      <c r="J8" s="10"/>
    </row>
    <row r="9" spans="1:12" ht="56.25" customHeight="1" x14ac:dyDescent="0.25">
      <c r="A9" s="38" t="s">
        <v>26</v>
      </c>
      <c r="B9" s="115" t="s">
        <v>27</v>
      </c>
      <c r="C9" s="116"/>
      <c r="D9" s="57">
        <f>+SUM(D10:D10)</f>
        <v>235</v>
      </c>
      <c r="E9" s="57">
        <f t="shared" ref="E9:G9" si="4">+SUM(E10:E10)</f>
        <v>0</v>
      </c>
      <c r="F9" s="57">
        <f t="shared" si="4"/>
        <v>0</v>
      </c>
      <c r="G9" s="57">
        <f t="shared" si="4"/>
        <v>0</v>
      </c>
      <c r="H9" s="58">
        <f t="shared" si="1"/>
        <v>235</v>
      </c>
      <c r="I9" s="58">
        <f t="shared" si="2"/>
        <v>0</v>
      </c>
      <c r="J9" s="10"/>
    </row>
    <row r="10" spans="1:12" ht="18.75" outlineLevel="1" x14ac:dyDescent="0.25">
      <c r="A10" s="16"/>
      <c r="B10" s="110" t="s">
        <v>68</v>
      </c>
      <c r="C10" s="111"/>
      <c r="D10" s="55">
        <v>235</v>
      </c>
      <c r="E10" s="55"/>
      <c r="F10" s="55"/>
      <c r="G10" s="55"/>
      <c r="H10" s="55">
        <f t="shared" si="1"/>
        <v>235</v>
      </c>
      <c r="I10" s="51"/>
      <c r="J10" s="10"/>
    </row>
    <row r="11" spans="1:12" ht="56.25" customHeight="1" x14ac:dyDescent="0.25">
      <c r="A11" s="38" t="s">
        <v>28</v>
      </c>
      <c r="B11" s="115" t="s">
        <v>70</v>
      </c>
      <c r="C11" s="116"/>
      <c r="D11" s="57">
        <f>+SUM(D12:D12)</f>
        <v>3.242</v>
      </c>
      <c r="E11" s="57">
        <f>+SUM(E12:E12)</f>
        <v>284</v>
      </c>
      <c r="F11" s="57">
        <f>+SUM(F12:F12)</f>
        <v>0</v>
      </c>
      <c r="G11" s="57">
        <f>+SUM(G12:G12)</f>
        <v>0</v>
      </c>
      <c r="H11" s="57">
        <f t="shared" si="1"/>
        <v>287.24200000000002</v>
      </c>
      <c r="I11" s="58">
        <f t="shared" si="2"/>
        <v>0</v>
      </c>
      <c r="J11" s="10"/>
    </row>
    <row r="12" spans="1:12" ht="56.25" customHeight="1" outlineLevel="1" x14ac:dyDescent="0.25">
      <c r="A12" s="16"/>
      <c r="B12" s="110" t="s">
        <v>43</v>
      </c>
      <c r="C12" s="111"/>
      <c r="D12" s="55">
        <v>3.242</v>
      </c>
      <c r="E12" s="55">
        <f>284</f>
        <v>284</v>
      </c>
      <c r="F12" s="55">
        <v>0</v>
      </c>
      <c r="G12" s="55">
        <v>0</v>
      </c>
      <c r="H12" s="55">
        <f>+SUM(D12:G12)</f>
        <v>287.24200000000002</v>
      </c>
      <c r="I12" s="51"/>
      <c r="J12" s="10"/>
      <c r="L12" s="67"/>
    </row>
    <row r="13" spans="1:12" ht="56.25" customHeight="1" outlineLevel="1" x14ac:dyDescent="0.25">
      <c r="A13" s="79"/>
      <c r="B13" s="110" t="s">
        <v>119</v>
      </c>
      <c r="C13" s="111"/>
      <c r="D13" s="80">
        <v>8290.7999999999993</v>
      </c>
      <c r="E13" s="80"/>
      <c r="F13" s="80"/>
      <c r="G13" s="80"/>
      <c r="H13" s="55">
        <f t="shared" si="1"/>
        <v>8290.7999999999993</v>
      </c>
      <c r="I13" s="81"/>
      <c r="J13" s="82"/>
      <c r="L13" s="67"/>
    </row>
    <row r="14" spans="1:12" ht="56.25" customHeight="1" outlineLevel="1" thickBot="1" x14ac:dyDescent="0.3">
      <c r="A14" s="79"/>
      <c r="B14" s="117" t="s">
        <v>135</v>
      </c>
      <c r="C14" s="118"/>
      <c r="D14" s="80"/>
      <c r="E14" s="80"/>
      <c r="F14" s="80">
        <v>548.20000000000005</v>
      </c>
      <c r="G14" s="80">
        <f>358.3+870.6-548.2+296</f>
        <v>976.7</v>
      </c>
      <c r="H14" s="55">
        <f t="shared" si="1"/>
        <v>1524.9</v>
      </c>
      <c r="I14" s="81"/>
      <c r="J14" s="82"/>
      <c r="L14" s="67"/>
    </row>
    <row r="15" spans="1:12" ht="47.25" customHeight="1" thickBot="1" x14ac:dyDescent="0.3">
      <c r="A15" s="11">
        <v>5</v>
      </c>
      <c r="B15" s="114" t="s">
        <v>29</v>
      </c>
      <c r="C15" s="114"/>
      <c r="D15" s="56">
        <f>+D5+D7+D13+D14</f>
        <v>14110.901999999998</v>
      </c>
      <c r="E15" s="56">
        <f t="shared" ref="E15:I15" si="5">+E5+E7+E13+E14</f>
        <v>284</v>
      </c>
      <c r="F15" s="56">
        <f t="shared" si="5"/>
        <v>6130</v>
      </c>
      <c r="G15" s="56">
        <f t="shared" si="5"/>
        <v>976.7</v>
      </c>
      <c r="H15" s="56">
        <f t="shared" si="5"/>
        <v>21501.601999999999</v>
      </c>
      <c r="I15" s="56">
        <f t="shared" si="5"/>
        <v>0</v>
      </c>
      <c r="J15" s="12"/>
    </row>
    <row r="18" spans="6:6" x14ac:dyDescent="0.25">
      <c r="F18" s="67"/>
    </row>
  </sheetData>
  <autoFilter ref="A5:N5">
    <filterColumn colId="1" showButton="0"/>
  </autoFilter>
  <mergeCells count="18">
    <mergeCell ref="B10:C10"/>
    <mergeCell ref="B5:C5"/>
    <mergeCell ref="B7:C7"/>
    <mergeCell ref="B15:C15"/>
    <mergeCell ref="B9:C9"/>
    <mergeCell ref="B8:C8"/>
    <mergeCell ref="B11:C11"/>
    <mergeCell ref="B12:C12"/>
    <mergeCell ref="B6:C6"/>
    <mergeCell ref="B13:C13"/>
    <mergeCell ref="B14:C14"/>
    <mergeCell ref="A1:J1"/>
    <mergeCell ref="A3:A4"/>
    <mergeCell ref="B3:C4"/>
    <mergeCell ref="D3:G3"/>
    <mergeCell ref="H3:H4"/>
    <mergeCell ref="I3:I4"/>
    <mergeCell ref="J3:J4"/>
  </mergeCells>
  <pageMargins left="0.7" right="0.7" top="0.75" bottom="0.75" header="0.3" footer="0.3"/>
  <pageSetup paperSize="9" scale="5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2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G2"/>
    </sheetView>
  </sheetViews>
  <sheetFormatPr defaultColWidth="57.5703125" defaultRowHeight="15" x14ac:dyDescent="0.25"/>
  <cols>
    <col min="1" max="1" width="9" style="1" customWidth="1"/>
    <col min="2" max="2" width="83.5703125" style="1" customWidth="1"/>
    <col min="3" max="3" width="29.140625" style="1" customWidth="1"/>
    <col min="4" max="5" width="19.42578125" style="1" customWidth="1"/>
    <col min="6" max="6" width="21.85546875" style="1" customWidth="1"/>
    <col min="7" max="7" width="23.7109375" style="1" customWidth="1"/>
    <col min="8" max="8" width="0" style="1" hidden="1" customWidth="1"/>
    <col min="9" max="16384" width="57.5703125" style="1"/>
  </cols>
  <sheetData>
    <row r="1" spans="1:8" ht="43.5" customHeight="1" x14ac:dyDescent="0.25">
      <c r="A1" s="106" t="s">
        <v>138</v>
      </c>
      <c r="B1" s="106"/>
      <c r="C1" s="106"/>
      <c r="D1" s="106"/>
      <c r="E1" s="106"/>
      <c r="F1" s="106"/>
      <c r="G1" s="106"/>
    </row>
    <row r="2" spans="1:8" ht="20.25" x14ac:dyDescent="0.25">
      <c r="A2" s="106" t="s">
        <v>42</v>
      </c>
      <c r="B2" s="106"/>
      <c r="C2" s="106"/>
      <c r="D2" s="106"/>
      <c r="E2" s="106"/>
      <c r="F2" s="106"/>
      <c r="G2" s="106"/>
    </row>
    <row r="3" spans="1:8" ht="21" thickBot="1" x14ac:dyDescent="0.3">
      <c r="A3" s="106"/>
      <c r="B3" s="106"/>
      <c r="C3" s="106"/>
      <c r="D3" s="106"/>
      <c r="E3" s="106"/>
      <c r="F3" s="106"/>
      <c r="G3" s="106"/>
    </row>
    <row r="4" spans="1:8" ht="48.75" customHeight="1" x14ac:dyDescent="0.25">
      <c r="A4" s="102" t="s">
        <v>0</v>
      </c>
      <c r="B4" s="104" t="s">
        <v>11</v>
      </c>
      <c r="C4" s="104" t="s">
        <v>41</v>
      </c>
      <c r="D4" s="104" t="s">
        <v>12</v>
      </c>
      <c r="E4" s="104"/>
      <c r="F4" s="119"/>
      <c r="G4" s="108"/>
    </row>
    <row r="5" spans="1:8" ht="55.5" customHeight="1" thickBot="1" x14ac:dyDescent="0.3">
      <c r="A5" s="103"/>
      <c r="B5" s="105"/>
      <c r="C5" s="105"/>
      <c r="D5" s="65" t="s">
        <v>13</v>
      </c>
      <c r="E5" s="65" t="s">
        <v>14</v>
      </c>
      <c r="F5" s="73" t="s">
        <v>63</v>
      </c>
      <c r="G5" s="66" t="s">
        <v>15</v>
      </c>
    </row>
    <row r="6" spans="1:8" ht="37.5" hidden="1" x14ac:dyDescent="0.25">
      <c r="A6" s="5">
        <v>1</v>
      </c>
      <c r="B6" s="32" t="s">
        <v>56</v>
      </c>
      <c r="C6" s="6">
        <f>SUMIFS('16.2-илова'!$N:$N,'16.2-илова'!$O:$O,$H:$H,'16.2-илова'!$G:$G,$B:$B)</f>
        <v>0</v>
      </c>
      <c r="D6" s="6"/>
      <c r="E6" s="6"/>
      <c r="F6" s="74">
        <f>SUMIFS('16.2-илова'!$K:$K,'16.2-илова'!$O:$O,$H:$H,'16.2-илова'!$G:$G,$B:$B)</f>
        <v>0</v>
      </c>
      <c r="G6" s="30">
        <f>SUMIFS('16.2-илова'!$L:$L,'16.2-илова'!$O:$O,$H:$H,'16.2-илова'!$G:$G,$B:$B)</f>
        <v>0</v>
      </c>
      <c r="H6" s="71">
        <v>509</v>
      </c>
    </row>
    <row r="7" spans="1:8" ht="37.5" hidden="1" x14ac:dyDescent="0.25">
      <c r="A7" s="8" t="e">
        <f>1+#REF!</f>
        <v>#REF!</v>
      </c>
      <c r="B7" s="13" t="s">
        <v>52</v>
      </c>
      <c r="C7" s="6">
        <f>SUMIFS('16.2-илова'!$N:$N,'16.2-илова'!$O:$O,$H:$H,'16.2-илова'!$G:$G,$B:$B)</f>
        <v>0</v>
      </c>
      <c r="D7" s="9"/>
      <c r="E7" s="9"/>
      <c r="F7" s="74">
        <f>SUMIFS('16.2-илова'!$K:$K,'16.2-илова'!$O:$O,$H:$H,'16.2-илова'!$G:$G,$B:$B)</f>
        <v>0</v>
      </c>
      <c r="G7" s="31">
        <f>SUMIFS('16.2-илова'!$L:$L,'16.2-илова'!$O:$O,$H:$H,'16.2-илова'!$G:$G,$B:$B)</f>
        <v>0</v>
      </c>
      <c r="H7" s="71">
        <v>509</v>
      </c>
    </row>
    <row r="8" spans="1:8" ht="18.75" hidden="1" x14ac:dyDescent="0.25">
      <c r="A8" s="8" t="e">
        <f>1+#REF!</f>
        <v>#REF!</v>
      </c>
      <c r="B8" s="13" t="s">
        <v>58</v>
      </c>
      <c r="C8" s="6">
        <f>SUMIFS('16.2-илова'!$N:$N,'16.2-илова'!$O:$O,$H:$H,'16.2-илова'!$G:$G,$B:$B)</f>
        <v>0</v>
      </c>
      <c r="D8" s="9"/>
      <c r="E8" s="9"/>
      <c r="F8" s="74">
        <f>SUMIFS('16.2-илова'!$K:$K,'16.2-илова'!$O:$O,$H:$H,'16.2-илова'!$G:$G,$B:$B)</f>
        <v>0</v>
      </c>
      <c r="G8" s="31">
        <f>SUMIFS('16.2-илова'!$L:$L,'16.2-илова'!$O:$O,$H:$H,'16.2-илова'!$G:$G,$B:$B)</f>
        <v>0</v>
      </c>
      <c r="H8" s="71">
        <v>509</v>
      </c>
    </row>
    <row r="9" spans="1:8" ht="18.75" hidden="1" x14ac:dyDescent="0.25">
      <c r="A9" s="8" t="e">
        <f>1+A8</f>
        <v>#REF!</v>
      </c>
      <c r="B9" s="13" t="s">
        <v>59</v>
      </c>
      <c r="C9" s="6">
        <f>SUMIFS('16.2-илова'!$N:$N,'16.2-илова'!$O:$O,$H:$H,'16.2-илова'!$G:$G,$B:$B)</f>
        <v>0</v>
      </c>
      <c r="D9" s="9"/>
      <c r="E9" s="9"/>
      <c r="F9" s="74">
        <f>SUMIFS('16.2-илова'!$K:$K,'16.2-илова'!$O:$O,$H:$H,'16.2-илова'!$G:$G,$B:$B)</f>
        <v>0</v>
      </c>
      <c r="G9" s="31">
        <f>SUMIFS('16.2-илова'!$L:$L,'16.2-илова'!$O:$O,$H:$H,'16.2-илова'!$G:$G,$B:$B)</f>
        <v>0</v>
      </c>
      <c r="H9" s="71">
        <v>509</v>
      </c>
    </row>
    <row r="10" spans="1:8" ht="37.5" hidden="1" x14ac:dyDescent="0.25">
      <c r="A10" s="8" t="e">
        <f>1+A9</f>
        <v>#REF!</v>
      </c>
      <c r="B10" s="13" t="s">
        <v>60</v>
      </c>
      <c r="C10" s="6">
        <f>SUMIFS('16.2-илова'!$N:$N,'16.2-илова'!$O:$O,$H:$H,'16.2-илова'!$G:$G,$B:$B)</f>
        <v>0</v>
      </c>
      <c r="D10" s="9"/>
      <c r="E10" s="9"/>
      <c r="F10" s="74">
        <f>SUMIFS('16.2-илова'!$K:$K,'16.2-илова'!$O:$O,$H:$H,'16.2-илова'!$G:$G,$B:$B)</f>
        <v>0</v>
      </c>
      <c r="G10" s="31">
        <f>SUMIFS('16.2-илова'!$L:$L,'16.2-илова'!$O:$O,$H:$H,'16.2-илова'!$G:$G,$B:$B)</f>
        <v>0</v>
      </c>
      <c r="H10" s="71">
        <v>509</v>
      </c>
    </row>
    <row r="11" spans="1:8" ht="37.5" hidden="1" x14ac:dyDescent="0.25">
      <c r="A11" s="8" t="e">
        <f>1+#REF!</f>
        <v>#REF!</v>
      </c>
      <c r="B11" s="13" t="s">
        <v>61</v>
      </c>
      <c r="C11" s="6">
        <f>SUMIFS('16.2-илова'!$N:$N,'16.2-илова'!$O:$O,$H:$H,'16.2-илова'!$G:$G,$B:$B)</f>
        <v>0</v>
      </c>
      <c r="D11" s="9"/>
      <c r="E11" s="9"/>
      <c r="F11" s="74">
        <f>SUMIFS('16.2-илова'!$K:$K,'16.2-илова'!$O:$O,$H:$H,'16.2-илова'!$G:$G,$B:$B)</f>
        <v>0</v>
      </c>
      <c r="G11" s="31">
        <f>SUMIFS('16.2-илова'!$L:$L,'16.2-илова'!$O:$O,$H:$H,'16.2-илова'!$G:$G,$B:$B)</f>
        <v>0</v>
      </c>
      <c r="H11" s="71">
        <v>509</v>
      </c>
    </row>
    <row r="12" spans="1:8" ht="37.5" hidden="1" x14ac:dyDescent="0.25">
      <c r="A12" s="8" t="e">
        <f>1+A11</f>
        <v>#REF!</v>
      </c>
      <c r="B12" s="13" t="s">
        <v>62</v>
      </c>
      <c r="C12" s="6">
        <f>SUMIFS('16.2-илова'!$N:$N,'16.2-илова'!$O:$O,$H:$H,'16.2-илова'!$G:$G,$B:$B)</f>
        <v>0</v>
      </c>
      <c r="D12" s="9"/>
      <c r="E12" s="9"/>
      <c r="F12" s="74">
        <f>SUMIFS('16.2-илова'!$K:$K,'16.2-илова'!$O:$O,$H:$H,'16.2-илова'!$G:$G,$B:$B)</f>
        <v>0</v>
      </c>
      <c r="G12" s="31">
        <f>SUMIFS('16.2-илова'!$L:$L,'16.2-илова'!$O:$O,$H:$H,'16.2-илова'!$G:$G,$B:$B)</f>
        <v>0</v>
      </c>
      <c r="H12" s="71">
        <v>509</v>
      </c>
    </row>
    <row r="13" spans="1:8" ht="37.5" hidden="1" x14ac:dyDescent="0.25">
      <c r="A13" s="8">
        <v>1</v>
      </c>
      <c r="B13" s="13" t="s">
        <v>56</v>
      </c>
      <c r="C13" s="6">
        <f>SUMIFS('16.2-илова'!$N:$N,'16.2-илова'!$O:$O,$H:$H,'16.2-илова'!$G:$G,$B:$B)</f>
        <v>0</v>
      </c>
      <c r="D13" s="9"/>
      <c r="E13" s="9"/>
      <c r="F13" s="74">
        <f>SUMIFS('16.2-илова'!$K:$K,'16.2-илова'!$O:$O,$H:$H,'16.2-илова'!$G:$G,$B:$B)</f>
        <v>0</v>
      </c>
      <c r="G13" s="30">
        <f>SUMIFS('16.2-илова'!$L:$L,'16.2-илова'!$O:$O,$H:$H,'16.2-илова'!$G:$G,$B:$B)</f>
        <v>0</v>
      </c>
      <c r="H13" s="71">
        <v>509.1</v>
      </c>
    </row>
    <row r="14" spans="1:8" ht="37.5" hidden="1" x14ac:dyDescent="0.25">
      <c r="A14" s="8">
        <f>1+A13</f>
        <v>2</v>
      </c>
      <c r="B14" s="13" t="s">
        <v>53</v>
      </c>
      <c r="C14" s="6">
        <f>SUMIFS('16.2-илова'!$N:$N,'16.2-илова'!$O:$O,$H:$H,'16.2-илова'!$G:$G,$B:$B)</f>
        <v>0</v>
      </c>
      <c r="D14" s="9"/>
      <c r="E14" s="9"/>
      <c r="F14" s="74">
        <f>SUMIFS('16.2-илова'!$K:$K,'16.2-илова'!$O:$O,$H:$H,'16.2-илова'!$G:$G,$B:$B)</f>
        <v>0</v>
      </c>
      <c r="G14" s="31">
        <f>SUMIFS('16.2-илова'!$L:$L,'16.2-илова'!$O:$O,$H:$H,'16.2-илова'!$G:$G,$B:$B)</f>
        <v>0</v>
      </c>
      <c r="H14" s="71">
        <v>509.1</v>
      </c>
    </row>
    <row r="15" spans="1:8" ht="37.5" hidden="1" x14ac:dyDescent="0.25">
      <c r="A15" s="8">
        <f t="shared" ref="A15:A22" si="0">1+A14</f>
        <v>3</v>
      </c>
      <c r="B15" s="13" t="s">
        <v>52</v>
      </c>
      <c r="C15" s="6">
        <f>SUMIFS('16.2-илова'!$N:$N,'16.2-илова'!$O:$O,$H:$H,'16.2-илова'!$G:$G,$B:$B)</f>
        <v>0</v>
      </c>
      <c r="D15" s="9"/>
      <c r="E15" s="9"/>
      <c r="F15" s="74">
        <f>SUMIFS('16.2-илова'!$K:$K,'16.2-илова'!$O:$O,$H:$H,'16.2-илова'!$G:$G,$B:$B)</f>
        <v>0</v>
      </c>
      <c r="G15" s="31">
        <f>SUMIFS('16.2-илова'!$L:$L,'16.2-илова'!$O:$O,$H:$H,'16.2-илова'!$G:$G,$B:$B)</f>
        <v>0</v>
      </c>
      <c r="H15" s="71">
        <v>509.1</v>
      </c>
    </row>
    <row r="16" spans="1:8" ht="18.75" hidden="1" x14ac:dyDescent="0.25">
      <c r="A16" s="8">
        <f t="shared" si="0"/>
        <v>4</v>
      </c>
      <c r="B16" s="13" t="s">
        <v>57</v>
      </c>
      <c r="C16" s="6">
        <f>SUMIFS('16.2-илова'!$N:$N,'16.2-илова'!$O:$O,$H:$H,'16.2-илова'!$G:$G,$B:$B)</f>
        <v>0</v>
      </c>
      <c r="D16" s="9"/>
      <c r="E16" s="9"/>
      <c r="F16" s="74">
        <f>SUMIFS('16.2-илова'!$K:$K,'16.2-илова'!$O:$O,$H:$H,'16.2-илова'!$G:$G,$B:$B)</f>
        <v>0</v>
      </c>
      <c r="G16" s="31">
        <f>SUMIFS('16.2-илова'!$L:$L,'16.2-илова'!$O:$O,$H:$H,'16.2-илова'!$G:$G,$B:$B)</f>
        <v>0</v>
      </c>
      <c r="H16" s="71">
        <v>509.1</v>
      </c>
    </row>
    <row r="17" spans="1:8" ht="37.5" hidden="1" x14ac:dyDescent="0.25">
      <c r="A17" s="8">
        <f t="shared" si="0"/>
        <v>5</v>
      </c>
      <c r="B17" s="13" t="s">
        <v>54</v>
      </c>
      <c r="C17" s="6">
        <f>SUMIFS('16.2-илова'!$N:$N,'16.2-илова'!$O:$O,$H:$H,'16.2-илова'!$G:$G,$B:$B)</f>
        <v>0</v>
      </c>
      <c r="D17" s="9"/>
      <c r="E17" s="9"/>
      <c r="F17" s="74">
        <f>SUMIFS('16.2-илова'!$K:$K,'16.2-илова'!$O:$O,$H:$H,'16.2-илова'!$G:$G,$B:$B)</f>
        <v>0</v>
      </c>
      <c r="G17" s="31">
        <f>SUMIFS('16.2-илова'!$L:$L,'16.2-илова'!$O:$O,$H:$H,'16.2-илова'!$G:$G,$B:$B)</f>
        <v>0</v>
      </c>
      <c r="H17" s="71">
        <v>509.1</v>
      </c>
    </row>
    <row r="18" spans="1:8" ht="18.75" hidden="1" x14ac:dyDescent="0.25">
      <c r="A18" s="8">
        <f t="shared" si="0"/>
        <v>6</v>
      </c>
      <c r="B18" s="13" t="s">
        <v>58</v>
      </c>
      <c r="C18" s="6">
        <f>SUMIFS('16.2-илова'!$N:$N,'16.2-илова'!$O:$O,$H:$H,'16.2-илова'!$G:$G,$B:$B)</f>
        <v>0</v>
      </c>
      <c r="D18" s="9"/>
      <c r="E18" s="9"/>
      <c r="F18" s="74">
        <f>SUMIFS('16.2-илова'!$K:$K,'16.2-илова'!$O:$O,$H:$H,'16.2-илова'!$G:$G,$B:$B)</f>
        <v>0</v>
      </c>
      <c r="G18" s="31">
        <f>SUMIFS('16.2-илова'!$L:$L,'16.2-илова'!$O:$O,$H:$H,'16.2-илова'!$G:$G,$B:$B)</f>
        <v>0</v>
      </c>
      <c r="H18" s="71">
        <v>509.1</v>
      </c>
    </row>
    <row r="19" spans="1:8" ht="18.75" hidden="1" x14ac:dyDescent="0.25">
      <c r="A19" s="8">
        <f t="shared" si="0"/>
        <v>7</v>
      </c>
      <c r="B19" s="13" t="s">
        <v>59</v>
      </c>
      <c r="C19" s="6">
        <f>SUMIFS('16.2-илова'!$N:$N,'16.2-илова'!$O:$O,$H:$H,'16.2-илова'!$G:$G,$B:$B)</f>
        <v>0</v>
      </c>
      <c r="D19" s="9"/>
      <c r="E19" s="9"/>
      <c r="F19" s="74">
        <f>SUMIFS('16.2-илова'!$K:$K,'16.2-илова'!$O:$O,$H:$H,'16.2-илова'!$G:$G,$B:$B)</f>
        <v>0</v>
      </c>
      <c r="G19" s="31">
        <f>SUMIFS('16.2-илова'!$L:$L,'16.2-илова'!$O:$O,$H:$H,'16.2-илова'!$G:$G,$B:$B)</f>
        <v>0</v>
      </c>
      <c r="H19" s="71">
        <v>509.1</v>
      </c>
    </row>
    <row r="20" spans="1:8" ht="37.5" hidden="1" x14ac:dyDescent="0.25">
      <c r="A20" s="8">
        <f t="shared" si="0"/>
        <v>8</v>
      </c>
      <c r="B20" s="13" t="s">
        <v>60</v>
      </c>
      <c r="C20" s="6">
        <f>SUMIFS('16.2-илова'!$N:$N,'16.2-илова'!$O:$O,$H:$H,'16.2-илова'!$G:$G,$B:$B)</f>
        <v>0</v>
      </c>
      <c r="D20" s="9"/>
      <c r="E20" s="9"/>
      <c r="F20" s="74">
        <f>SUMIFS('16.2-илова'!$K:$K,'16.2-илова'!$O:$O,$H:$H,'16.2-илова'!$G:$G,$B:$B)</f>
        <v>0</v>
      </c>
      <c r="G20" s="31">
        <f>SUMIFS('16.2-илова'!$L:$L,'16.2-илова'!$O:$O,$H:$H,'16.2-илова'!$G:$G,$B:$B)</f>
        <v>0</v>
      </c>
      <c r="H20" s="71">
        <v>509.1</v>
      </c>
    </row>
    <row r="21" spans="1:8" ht="37.5" hidden="1" x14ac:dyDescent="0.25">
      <c r="A21" s="8" t="e">
        <f>1+#REF!</f>
        <v>#REF!</v>
      </c>
      <c r="B21" s="13" t="s">
        <v>61</v>
      </c>
      <c r="C21" s="6">
        <f>SUMIFS('16.2-илова'!$N:$N,'16.2-илова'!$O:$O,$H:$H,'16.2-илова'!$G:$G,$B:$B)</f>
        <v>0</v>
      </c>
      <c r="D21" s="9"/>
      <c r="E21" s="9"/>
      <c r="F21" s="74">
        <f>SUMIFS('16.2-илова'!$K:$K,'16.2-илова'!$O:$O,$H:$H,'16.2-илова'!$G:$G,$B:$B)</f>
        <v>0</v>
      </c>
      <c r="G21" s="31">
        <f>SUMIFS('16.2-илова'!$L:$L,'16.2-илова'!$O:$O,$H:$H,'16.2-илова'!$G:$G,$B:$B)</f>
        <v>0</v>
      </c>
      <c r="H21" s="71">
        <v>509.1</v>
      </c>
    </row>
    <row r="22" spans="1:8" ht="37.5" hidden="1" x14ac:dyDescent="0.25">
      <c r="A22" s="8" t="e">
        <f t="shared" si="0"/>
        <v>#REF!</v>
      </c>
      <c r="B22" s="13" t="s">
        <v>62</v>
      </c>
      <c r="C22" s="6">
        <f>SUMIFS('16.2-илова'!$N:$N,'16.2-илова'!$O:$O,$H:$H,'16.2-илова'!$G:$G,$B:$B)</f>
        <v>0</v>
      </c>
      <c r="D22" s="9"/>
      <c r="E22" s="9"/>
      <c r="F22" s="74">
        <f>SUMIFS('16.2-илова'!$K:$K,'16.2-илова'!$O:$O,$H:$H,'16.2-илова'!$G:$G,$B:$B)</f>
        <v>0</v>
      </c>
      <c r="G22" s="31">
        <f>SUMIFS('16.2-илова'!$L:$L,'16.2-илова'!$O:$O,$H:$H,'16.2-илова'!$G:$G,$B:$B)</f>
        <v>0</v>
      </c>
      <c r="H22" s="71">
        <v>509.1</v>
      </c>
    </row>
    <row r="23" spans="1:8" ht="37.5" hidden="1" x14ac:dyDescent="0.25">
      <c r="A23" s="8">
        <v>1</v>
      </c>
      <c r="B23" s="13" t="s">
        <v>56</v>
      </c>
      <c r="C23" s="6">
        <f>SUMIFS('16.2-илова'!$N:$N,'16.2-илова'!$O:$O,$H:$H,'16.2-илова'!$G:$G,$B:$B)</f>
        <v>0</v>
      </c>
      <c r="D23" s="9"/>
      <c r="E23" s="9"/>
      <c r="F23" s="74">
        <f>SUMIFS('16.2-илова'!$K:$K,'16.2-илова'!$O:$O,$H:$H,'16.2-илова'!$G:$G,$B:$B)</f>
        <v>0</v>
      </c>
      <c r="G23" s="30">
        <f>SUMIFS('16.2-илова'!$L:$L,'16.2-илова'!$O:$O,$H:$H,'16.2-илова'!$G:$G,$B:$B)</f>
        <v>0</v>
      </c>
      <c r="H23" s="71">
        <v>509.2</v>
      </c>
    </row>
    <row r="24" spans="1:8" ht="37.5" hidden="1" x14ac:dyDescent="0.25">
      <c r="A24" s="8">
        <f>1+A23</f>
        <v>2</v>
      </c>
      <c r="B24" s="13" t="s">
        <v>53</v>
      </c>
      <c r="C24" s="6">
        <f>SUMIFS('16.2-илова'!$N:$N,'16.2-илова'!$O:$O,$H:$H,'16.2-илова'!$G:$G,$B:$B)</f>
        <v>0</v>
      </c>
      <c r="D24" s="9"/>
      <c r="E24" s="9"/>
      <c r="F24" s="74">
        <f>SUMIFS('16.2-илова'!$K:$K,'16.2-илова'!$O:$O,$H:$H,'16.2-илова'!$G:$G,$B:$B)</f>
        <v>0</v>
      </c>
      <c r="G24" s="31">
        <f>SUMIFS('16.2-илова'!$L:$L,'16.2-илова'!$O:$O,$H:$H,'16.2-илова'!$G:$G,$B:$B)</f>
        <v>0</v>
      </c>
      <c r="H24" s="71">
        <v>509.2</v>
      </c>
    </row>
    <row r="25" spans="1:8" ht="37.5" hidden="1" x14ac:dyDescent="0.25">
      <c r="A25" s="8">
        <f t="shared" ref="A25:A32" si="1">1+A24</f>
        <v>3</v>
      </c>
      <c r="B25" s="13" t="s">
        <v>52</v>
      </c>
      <c r="C25" s="6">
        <f>SUMIFS('16.2-илова'!$N:$N,'16.2-илова'!$O:$O,$H:$H,'16.2-илова'!$G:$G,$B:$B)</f>
        <v>0</v>
      </c>
      <c r="D25" s="9"/>
      <c r="E25" s="9"/>
      <c r="F25" s="74">
        <f>SUMIFS('16.2-илова'!$K:$K,'16.2-илова'!$O:$O,$H:$H,'16.2-илова'!$G:$G,$B:$B)</f>
        <v>0</v>
      </c>
      <c r="G25" s="31">
        <f>SUMIFS('16.2-илова'!$L:$L,'16.2-илова'!$O:$O,$H:$H,'16.2-илова'!$G:$G,$B:$B)</f>
        <v>0</v>
      </c>
      <c r="H25" s="71">
        <v>509.2</v>
      </c>
    </row>
    <row r="26" spans="1:8" ht="18.75" hidden="1" x14ac:dyDescent="0.25">
      <c r="A26" s="8">
        <f t="shared" si="1"/>
        <v>4</v>
      </c>
      <c r="B26" s="13" t="s">
        <v>57</v>
      </c>
      <c r="C26" s="6">
        <f>SUMIFS('16.2-илова'!$N:$N,'16.2-илова'!$O:$O,$H:$H,'16.2-илова'!$G:$G,$B:$B)</f>
        <v>0</v>
      </c>
      <c r="D26" s="9"/>
      <c r="E26" s="9"/>
      <c r="F26" s="74">
        <f>SUMIFS('16.2-илова'!$K:$K,'16.2-илова'!$O:$O,$H:$H,'16.2-илова'!$G:$G,$B:$B)</f>
        <v>0</v>
      </c>
      <c r="G26" s="31">
        <f>SUMIFS('16.2-илова'!$L:$L,'16.2-илова'!$O:$O,$H:$H,'16.2-илова'!$G:$G,$B:$B)</f>
        <v>0</v>
      </c>
      <c r="H26" s="71">
        <v>509.2</v>
      </c>
    </row>
    <row r="27" spans="1:8" ht="37.5" hidden="1" x14ac:dyDescent="0.25">
      <c r="A27" s="8">
        <f t="shared" si="1"/>
        <v>5</v>
      </c>
      <c r="B27" s="13" t="s">
        <v>54</v>
      </c>
      <c r="C27" s="6">
        <f>SUMIFS('16.2-илова'!$N:$N,'16.2-илова'!$O:$O,$H:$H,'16.2-илова'!$G:$G,$B:$B)</f>
        <v>0</v>
      </c>
      <c r="D27" s="9"/>
      <c r="E27" s="9"/>
      <c r="F27" s="74">
        <f>SUMIFS('16.2-илова'!$K:$K,'16.2-илова'!$O:$O,$H:$H,'16.2-илова'!$G:$G,$B:$B)</f>
        <v>0</v>
      </c>
      <c r="G27" s="31">
        <f>SUMIFS('16.2-илова'!$L:$L,'16.2-илова'!$O:$O,$H:$H,'16.2-илова'!$G:$G,$B:$B)</f>
        <v>0</v>
      </c>
      <c r="H27" s="71">
        <v>509.2</v>
      </c>
    </row>
    <row r="28" spans="1:8" ht="18.75" hidden="1" x14ac:dyDescent="0.25">
      <c r="A28" s="8">
        <f t="shared" si="1"/>
        <v>6</v>
      </c>
      <c r="B28" s="13" t="s">
        <v>58</v>
      </c>
      <c r="C28" s="6">
        <f>SUMIFS('16.2-илова'!$N:$N,'16.2-илова'!$O:$O,$H:$H,'16.2-илова'!$G:$G,$B:$B)</f>
        <v>0</v>
      </c>
      <c r="D28" s="9"/>
      <c r="E28" s="9"/>
      <c r="F28" s="74">
        <f>SUMIFS('16.2-илова'!$K:$K,'16.2-илова'!$O:$O,$H:$H,'16.2-илова'!$G:$G,$B:$B)</f>
        <v>0</v>
      </c>
      <c r="G28" s="31">
        <f>SUMIFS('16.2-илова'!$L:$L,'16.2-илова'!$O:$O,$H:$H,'16.2-илова'!$G:$G,$B:$B)</f>
        <v>0</v>
      </c>
      <c r="H28" s="71">
        <v>509.2</v>
      </c>
    </row>
    <row r="29" spans="1:8" ht="18.75" hidden="1" x14ac:dyDescent="0.25">
      <c r="A29" s="8">
        <f t="shared" si="1"/>
        <v>7</v>
      </c>
      <c r="B29" s="13" t="s">
        <v>59</v>
      </c>
      <c r="C29" s="6">
        <f>SUMIFS('16.2-илова'!$N:$N,'16.2-илова'!$O:$O,$H:$H,'16.2-илова'!$G:$G,$B:$B)</f>
        <v>0</v>
      </c>
      <c r="D29" s="9"/>
      <c r="E29" s="9"/>
      <c r="F29" s="74">
        <f>SUMIFS('16.2-илова'!$K:$K,'16.2-илова'!$O:$O,$H:$H,'16.2-илова'!$G:$G,$B:$B)</f>
        <v>0</v>
      </c>
      <c r="G29" s="31">
        <f>SUMIFS('16.2-илова'!$L:$L,'16.2-илова'!$O:$O,$H:$H,'16.2-илова'!$G:$G,$B:$B)</f>
        <v>0</v>
      </c>
      <c r="H29" s="71">
        <v>509.2</v>
      </c>
    </row>
    <row r="30" spans="1:8" ht="37.5" hidden="1" x14ac:dyDescent="0.25">
      <c r="A30" s="8">
        <f t="shared" si="1"/>
        <v>8</v>
      </c>
      <c r="B30" s="13" t="s">
        <v>60</v>
      </c>
      <c r="C30" s="6">
        <f>SUMIFS('16.2-илова'!$N:$N,'16.2-илова'!$O:$O,$H:$H,'16.2-илова'!$G:$G,$B:$B)</f>
        <v>0</v>
      </c>
      <c r="D30" s="9"/>
      <c r="E30" s="9"/>
      <c r="F30" s="74">
        <f>SUMIFS('16.2-илова'!$K:$K,'16.2-илова'!$O:$O,$H:$H,'16.2-илова'!$G:$G,$B:$B)</f>
        <v>0</v>
      </c>
      <c r="G30" s="31">
        <f>SUMIFS('16.2-илова'!$L:$L,'16.2-илова'!$O:$O,$H:$H,'16.2-илова'!$G:$G,$B:$B)</f>
        <v>0</v>
      </c>
      <c r="H30" s="71">
        <v>509.2</v>
      </c>
    </row>
    <row r="31" spans="1:8" ht="37.5" hidden="1" x14ac:dyDescent="0.25">
      <c r="A31" s="8">
        <f t="shared" si="1"/>
        <v>9</v>
      </c>
      <c r="B31" s="13" t="s">
        <v>50</v>
      </c>
      <c r="C31" s="6">
        <f>SUMIFS('16.2-илова'!$N:$N,'16.2-илова'!$O:$O,$H:$H,'16.2-илова'!$G:$G,$B:$B)</f>
        <v>0</v>
      </c>
      <c r="D31" s="9"/>
      <c r="E31" s="9"/>
      <c r="F31" s="74">
        <f>SUMIFS('16.2-илова'!$K:$K,'16.2-илова'!$O:$O,$H:$H,'16.2-илова'!$G:$G,$B:$B)</f>
        <v>0</v>
      </c>
      <c r="G31" s="31">
        <f>SUMIFS('16.2-илова'!$L:$L,'16.2-илова'!$O:$O,$H:$H,'16.2-илова'!$G:$G,$B:$B)</f>
        <v>0</v>
      </c>
      <c r="H31" s="71">
        <v>509.2</v>
      </c>
    </row>
    <row r="32" spans="1:8" ht="37.5" hidden="1" x14ac:dyDescent="0.25">
      <c r="A32" s="8">
        <f t="shared" si="1"/>
        <v>10</v>
      </c>
      <c r="B32" s="13" t="s">
        <v>61</v>
      </c>
      <c r="C32" s="6">
        <f>SUMIFS('16.2-илова'!$N:$N,'16.2-илова'!$O:$O,$H:$H,'16.2-илова'!$G:$G,$B:$B)</f>
        <v>0</v>
      </c>
      <c r="D32" s="9"/>
      <c r="E32" s="9"/>
      <c r="F32" s="74">
        <f>SUMIFS('16.2-илова'!$K:$K,'16.2-илова'!$O:$O,$H:$H,'16.2-илова'!$G:$G,$B:$B)</f>
        <v>0</v>
      </c>
      <c r="G32" s="31">
        <f>SUMIFS('16.2-илова'!$L:$L,'16.2-илова'!$O:$O,$H:$H,'16.2-илова'!$G:$G,$B:$B)</f>
        <v>0</v>
      </c>
      <c r="H32" s="71">
        <v>509.2</v>
      </c>
    </row>
    <row r="33" spans="1:8" ht="37.5" hidden="1" x14ac:dyDescent="0.25">
      <c r="A33" s="8">
        <v>1</v>
      </c>
      <c r="B33" s="13" t="s">
        <v>56</v>
      </c>
      <c r="C33" s="6">
        <f>SUMIFS('16.2-илова'!$N:$N,'16.2-илова'!$O:$O,$H:$H,'16.2-илова'!$G:$G,$B:$B)</f>
        <v>0</v>
      </c>
      <c r="D33" s="9"/>
      <c r="E33" s="9"/>
      <c r="F33" s="74">
        <f>SUMIFS('16.2-илова'!$K:$K,'16.2-илова'!$O:$O,$H:$H,'16.2-илова'!$G:$G,$B:$B)</f>
        <v>0</v>
      </c>
      <c r="G33" s="30">
        <f>SUMIFS('16.2-илова'!$L:$L,'16.2-илова'!$O:$O,$H:$H,'16.2-илова'!$G:$G,$B:$B)</f>
        <v>0</v>
      </c>
      <c r="H33" s="71">
        <v>511</v>
      </c>
    </row>
    <row r="34" spans="1:8" ht="37.5" hidden="1" x14ac:dyDescent="0.25">
      <c r="A34" s="8" t="e">
        <f>1+#REF!</f>
        <v>#REF!</v>
      </c>
      <c r="B34" s="13" t="s">
        <v>52</v>
      </c>
      <c r="C34" s="6">
        <f>SUMIFS('16.2-илова'!$N:$N,'16.2-илова'!$O:$O,$H:$H,'16.2-илова'!$G:$G,$B:$B)</f>
        <v>0</v>
      </c>
      <c r="D34" s="9"/>
      <c r="E34" s="9"/>
      <c r="F34" s="74">
        <f>SUMIFS('16.2-илова'!$K:$K,'16.2-илова'!$O:$O,$H:$H,'16.2-илова'!$G:$G,$B:$B)</f>
        <v>0</v>
      </c>
      <c r="G34" s="31">
        <f>SUMIFS('16.2-илова'!$L:$L,'16.2-илова'!$O:$O,$H:$H,'16.2-илова'!$G:$G,$B:$B)</f>
        <v>0</v>
      </c>
      <c r="H34" s="71">
        <v>511</v>
      </c>
    </row>
    <row r="35" spans="1:8" ht="18.75" hidden="1" x14ac:dyDescent="0.25">
      <c r="A35" s="8" t="e">
        <f t="shared" ref="A35:A40" si="2">1+A34</f>
        <v>#REF!</v>
      </c>
      <c r="B35" s="13" t="s">
        <v>57</v>
      </c>
      <c r="C35" s="6">
        <f>SUMIFS('16.2-илова'!$N:$N,'16.2-илова'!$O:$O,$H:$H,'16.2-илова'!$G:$G,$B:$B)</f>
        <v>0</v>
      </c>
      <c r="D35" s="9"/>
      <c r="E35" s="9"/>
      <c r="F35" s="74">
        <f>SUMIFS('16.2-илова'!$K:$K,'16.2-илова'!$O:$O,$H:$H,'16.2-илова'!$G:$G,$B:$B)</f>
        <v>0</v>
      </c>
      <c r="G35" s="31">
        <f>SUMIFS('16.2-илова'!$L:$L,'16.2-илова'!$O:$O,$H:$H,'16.2-илова'!$G:$G,$B:$B)</f>
        <v>0</v>
      </c>
      <c r="H35" s="71">
        <v>511</v>
      </c>
    </row>
    <row r="36" spans="1:8" ht="18.75" hidden="1" x14ac:dyDescent="0.25">
      <c r="A36" s="8" t="e">
        <f>1+#REF!</f>
        <v>#REF!</v>
      </c>
      <c r="B36" s="13" t="s">
        <v>58</v>
      </c>
      <c r="C36" s="6">
        <f>SUMIFS('16.2-илова'!$N:$N,'16.2-илова'!$O:$O,$H:$H,'16.2-илова'!$G:$G,$B:$B)</f>
        <v>0</v>
      </c>
      <c r="D36" s="9"/>
      <c r="E36" s="9"/>
      <c r="F36" s="74">
        <f>SUMIFS('16.2-илова'!$K:$K,'16.2-илова'!$O:$O,$H:$H,'16.2-илова'!$G:$G,$B:$B)</f>
        <v>0</v>
      </c>
      <c r="G36" s="31">
        <f>SUMIFS('16.2-илова'!$L:$L,'16.2-илова'!$O:$O,$H:$H,'16.2-илова'!$G:$G,$B:$B)</f>
        <v>0</v>
      </c>
      <c r="H36" s="71">
        <v>511</v>
      </c>
    </row>
    <row r="37" spans="1:8" ht="18.75" hidden="1" x14ac:dyDescent="0.25">
      <c r="A37" s="8" t="e">
        <f t="shared" si="2"/>
        <v>#REF!</v>
      </c>
      <c r="B37" s="13" t="s">
        <v>59</v>
      </c>
      <c r="C37" s="6">
        <f>SUMIFS('16.2-илова'!$N:$N,'16.2-илова'!$O:$O,$H:$H,'16.2-илова'!$G:$G,$B:$B)</f>
        <v>0</v>
      </c>
      <c r="D37" s="9"/>
      <c r="E37" s="9"/>
      <c r="F37" s="74">
        <f>SUMIFS('16.2-илова'!$K:$K,'16.2-илова'!$O:$O,$H:$H,'16.2-илова'!$G:$G,$B:$B)</f>
        <v>0</v>
      </c>
      <c r="G37" s="31">
        <f>SUMIFS('16.2-илова'!$L:$L,'16.2-илова'!$O:$O,$H:$H,'16.2-илова'!$G:$G,$B:$B)</f>
        <v>0</v>
      </c>
      <c r="H37" s="71">
        <v>511</v>
      </c>
    </row>
    <row r="38" spans="1:8" ht="37.5" hidden="1" x14ac:dyDescent="0.25">
      <c r="A38" s="8" t="e">
        <f t="shared" si="2"/>
        <v>#REF!</v>
      </c>
      <c r="B38" s="13" t="s">
        <v>60</v>
      </c>
      <c r="C38" s="6">
        <f>SUMIFS('16.2-илова'!$N:$N,'16.2-илова'!$O:$O,$H:$H,'16.2-илова'!$G:$G,$B:$B)</f>
        <v>0</v>
      </c>
      <c r="D38" s="9"/>
      <c r="E38" s="9"/>
      <c r="F38" s="74">
        <f>SUMIFS('16.2-илова'!$K:$K,'16.2-илова'!$O:$O,$H:$H,'16.2-илова'!$G:$G,$B:$B)</f>
        <v>0</v>
      </c>
      <c r="G38" s="31">
        <f>SUMIFS('16.2-илова'!$L:$L,'16.2-илова'!$O:$O,$H:$H,'16.2-илова'!$G:$G,$B:$B)</f>
        <v>0</v>
      </c>
      <c r="H38" s="71">
        <v>511</v>
      </c>
    </row>
    <row r="39" spans="1:8" ht="37.5" hidden="1" x14ac:dyDescent="0.25">
      <c r="A39" s="8" t="e">
        <f>1+#REF!</f>
        <v>#REF!</v>
      </c>
      <c r="B39" s="13" t="s">
        <v>61</v>
      </c>
      <c r="C39" s="6">
        <f>SUMIFS('16.2-илова'!$N:$N,'16.2-илова'!$O:$O,$H:$H,'16.2-илова'!$G:$G,$B:$B)</f>
        <v>0</v>
      </c>
      <c r="D39" s="9"/>
      <c r="E39" s="9"/>
      <c r="F39" s="74">
        <f>SUMIFS('16.2-илова'!$K:$K,'16.2-илова'!$O:$O,$H:$H,'16.2-илова'!$G:$G,$B:$B)</f>
        <v>0</v>
      </c>
      <c r="G39" s="31">
        <f>SUMIFS('16.2-илова'!$L:$L,'16.2-илова'!$O:$O,$H:$H,'16.2-илова'!$G:$G,$B:$B)</f>
        <v>0</v>
      </c>
      <c r="H39" s="71">
        <v>511</v>
      </c>
    </row>
    <row r="40" spans="1:8" ht="37.5" hidden="1" x14ac:dyDescent="0.25">
      <c r="A40" s="8" t="e">
        <f t="shared" si="2"/>
        <v>#REF!</v>
      </c>
      <c r="B40" s="13" t="s">
        <v>62</v>
      </c>
      <c r="C40" s="6">
        <f>SUMIFS('16.2-илова'!$N:$N,'16.2-илова'!$O:$O,$H:$H,'16.2-илова'!$G:$G,$B:$B)</f>
        <v>0</v>
      </c>
      <c r="D40" s="9"/>
      <c r="E40" s="9"/>
      <c r="F40" s="74">
        <f>SUMIFS('16.2-илова'!$K:$K,'16.2-илова'!$O:$O,$H:$H,'16.2-илова'!$G:$G,$B:$B)</f>
        <v>0</v>
      </c>
      <c r="G40" s="31">
        <f>SUMIFS('16.2-илова'!$L:$L,'16.2-илова'!$O:$O,$H:$H,'16.2-илова'!$G:$G,$B:$B)</f>
        <v>0</v>
      </c>
      <c r="H40" s="71">
        <v>511</v>
      </c>
    </row>
    <row r="41" spans="1:8" ht="37.5" hidden="1" x14ac:dyDescent="0.25">
      <c r="A41" s="8">
        <v>1</v>
      </c>
      <c r="B41" s="13" t="s">
        <v>56</v>
      </c>
      <c r="C41" s="6">
        <f>SUMIFS('16.2-илова'!$N:$N,'16.2-илова'!$O:$O,$H:$H,'16.2-илова'!$G:$G,$B:$B)</f>
        <v>0</v>
      </c>
      <c r="D41" s="9"/>
      <c r="E41" s="9"/>
      <c r="F41" s="74">
        <f>SUMIFS('16.2-илова'!$K:$K,'16.2-илова'!$O:$O,$H:$H,'16.2-илова'!$G:$G,$B:$B)</f>
        <v>0</v>
      </c>
      <c r="G41" s="30">
        <f>SUMIFS('16.2-илова'!$L:$L,'16.2-илова'!$O:$O,$H:$H,'16.2-илова'!$G:$G,$B:$B)</f>
        <v>0</v>
      </c>
      <c r="H41" s="71">
        <v>512</v>
      </c>
    </row>
    <row r="42" spans="1:8" ht="37.5" hidden="1" x14ac:dyDescent="0.25">
      <c r="A42" s="8">
        <f>1+A41</f>
        <v>2</v>
      </c>
      <c r="B42" s="13" t="s">
        <v>53</v>
      </c>
      <c r="C42" s="6">
        <f>SUMIFS('16.2-илова'!$N:$N,'16.2-илова'!$O:$O,$H:$H,'16.2-илова'!$G:$G,$B:$B)</f>
        <v>0</v>
      </c>
      <c r="D42" s="9"/>
      <c r="E42" s="9"/>
      <c r="F42" s="74">
        <f>SUMIFS('16.2-илова'!$K:$K,'16.2-илова'!$O:$O,$H:$H,'16.2-илова'!$G:$G,$B:$B)</f>
        <v>0</v>
      </c>
      <c r="G42" s="31">
        <f>SUMIFS('16.2-илова'!$L:$L,'16.2-илова'!$O:$O,$H:$H,'16.2-илова'!$G:$G,$B:$B)</f>
        <v>0</v>
      </c>
      <c r="H42" s="71">
        <v>512</v>
      </c>
    </row>
    <row r="43" spans="1:8" ht="18.75" hidden="1" x14ac:dyDescent="0.25">
      <c r="A43" s="8" t="e">
        <f>1+#REF!</f>
        <v>#REF!</v>
      </c>
      <c r="B43" s="13" t="s">
        <v>58</v>
      </c>
      <c r="C43" s="6">
        <f>SUMIFS('16.2-илова'!$N:$N,'16.2-илова'!$O:$O,$H:$H,'16.2-илова'!$G:$G,$B:$B)</f>
        <v>0</v>
      </c>
      <c r="D43" s="9"/>
      <c r="E43" s="9"/>
      <c r="F43" s="74">
        <f>SUMIFS('16.2-илова'!$K:$K,'16.2-илова'!$O:$O,$H:$H,'16.2-илова'!$G:$G,$B:$B)</f>
        <v>0</v>
      </c>
      <c r="G43" s="31">
        <f>SUMIFS('16.2-илова'!$L:$L,'16.2-илова'!$O:$O,$H:$H,'16.2-илова'!$G:$G,$B:$B)</f>
        <v>0</v>
      </c>
      <c r="H43" s="71">
        <v>512</v>
      </c>
    </row>
    <row r="44" spans="1:8" ht="18.75" hidden="1" x14ac:dyDescent="0.25">
      <c r="A44" s="8" t="e">
        <f>1+A43</f>
        <v>#REF!</v>
      </c>
      <c r="B44" s="13" t="s">
        <v>59</v>
      </c>
      <c r="C44" s="6">
        <f>SUMIFS('16.2-илова'!$N:$N,'16.2-илова'!$O:$O,$H:$H,'16.2-илова'!$G:$G,$B:$B)</f>
        <v>0</v>
      </c>
      <c r="D44" s="9"/>
      <c r="E44" s="9"/>
      <c r="F44" s="74">
        <f>SUMIFS('16.2-илова'!$K:$K,'16.2-илова'!$O:$O,$H:$H,'16.2-илова'!$G:$G,$B:$B)</f>
        <v>0</v>
      </c>
      <c r="G44" s="31">
        <f>SUMIFS('16.2-илова'!$L:$L,'16.2-илова'!$O:$O,$H:$H,'16.2-илова'!$G:$G,$B:$B)</f>
        <v>0</v>
      </c>
      <c r="H44" s="71">
        <v>512</v>
      </c>
    </row>
    <row r="45" spans="1:8" ht="37.5" hidden="1" x14ac:dyDescent="0.25">
      <c r="A45" s="8" t="e">
        <f>1+A44</f>
        <v>#REF!</v>
      </c>
      <c r="B45" s="13" t="s">
        <v>60</v>
      </c>
      <c r="C45" s="6">
        <f>SUMIFS('16.2-илова'!$N:$N,'16.2-илова'!$O:$O,$H:$H,'16.2-илова'!$G:$G,$B:$B)</f>
        <v>0</v>
      </c>
      <c r="D45" s="9"/>
      <c r="E45" s="9"/>
      <c r="F45" s="74">
        <f>SUMIFS('16.2-илова'!$K:$K,'16.2-илова'!$O:$O,$H:$H,'16.2-илова'!$G:$G,$B:$B)</f>
        <v>0</v>
      </c>
      <c r="G45" s="31">
        <f>SUMIFS('16.2-илова'!$L:$L,'16.2-илова'!$O:$O,$H:$H,'16.2-илова'!$G:$G,$B:$B)</f>
        <v>0</v>
      </c>
      <c r="H45" s="71">
        <v>512</v>
      </c>
    </row>
    <row r="46" spans="1:8" ht="37.5" hidden="1" x14ac:dyDescent="0.25">
      <c r="A46" s="8" t="e">
        <f>1+#REF!</f>
        <v>#REF!</v>
      </c>
      <c r="B46" s="13" t="s">
        <v>61</v>
      </c>
      <c r="C46" s="6">
        <f>SUMIFS('16.2-илова'!$N:$N,'16.2-илова'!$O:$O,$H:$H,'16.2-илова'!$G:$G,$B:$B)</f>
        <v>0</v>
      </c>
      <c r="D46" s="9"/>
      <c r="E46" s="9"/>
      <c r="F46" s="74">
        <f>SUMIFS('16.2-илова'!$K:$K,'16.2-илова'!$O:$O,$H:$H,'16.2-илова'!$G:$G,$B:$B)</f>
        <v>0</v>
      </c>
      <c r="G46" s="31">
        <f>SUMIFS('16.2-илова'!$L:$L,'16.2-илова'!$O:$O,$H:$H,'16.2-илова'!$G:$G,$B:$B)</f>
        <v>0</v>
      </c>
      <c r="H46" s="71">
        <v>512</v>
      </c>
    </row>
    <row r="47" spans="1:8" ht="37.5" hidden="1" x14ac:dyDescent="0.25">
      <c r="A47" s="8" t="e">
        <f>1+A46</f>
        <v>#REF!</v>
      </c>
      <c r="B47" s="13" t="s">
        <v>62</v>
      </c>
      <c r="C47" s="6">
        <f>SUMIFS('16.2-илова'!$N:$N,'16.2-илова'!$O:$O,$H:$H,'16.2-илова'!$G:$G,$B:$B)</f>
        <v>0</v>
      </c>
      <c r="D47" s="9"/>
      <c r="E47" s="9"/>
      <c r="F47" s="74">
        <f>SUMIFS('16.2-илова'!$K:$K,'16.2-илова'!$O:$O,$H:$H,'16.2-илова'!$G:$G,$B:$B)</f>
        <v>0</v>
      </c>
      <c r="G47" s="31">
        <f>SUMIFS('16.2-илова'!$L:$L,'16.2-илова'!$O:$O,$H:$H,'16.2-илова'!$G:$G,$B:$B)</f>
        <v>0</v>
      </c>
      <c r="H47" s="71">
        <v>512</v>
      </c>
    </row>
    <row r="48" spans="1:8" ht="37.5" hidden="1" x14ac:dyDescent="0.25">
      <c r="A48" s="8">
        <v>1</v>
      </c>
      <c r="B48" s="13" t="s">
        <v>56</v>
      </c>
      <c r="C48" s="6">
        <f>SUMIFS('16.2-илова'!$N:$N,'16.2-илова'!$O:$O,$H:$H,'16.2-илова'!$G:$G,$B:$B)</f>
        <v>0</v>
      </c>
      <c r="D48" s="9"/>
      <c r="E48" s="9"/>
      <c r="F48" s="74">
        <f>SUMIFS('16.2-илова'!$K:$K,'16.2-илова'!$O:$O,$H:$H,'16.2-илова'!$G:$G,$B:$B)</f>
        <v>0</v>
      </c>
      <c r="G48" s="30">
        <f>SUMIFS('16.2-илова'!$L:$L,'16.2-илова'!$O:$O,$H:$H,'16.2-илова'!$G:$G,$B:$B)</f>
        <v>0</v>
      </c>
      <c r="H48" s="71">
        <v>513</v>
      </c>
    </row>
    <row r="49" spans="1:8" ht="37.5" x14ac:dyDescent="0.25">
      <c r="A49" s="8">
        <v>1</v>
      </c>
      <c r="B49" s="13" t="s">
        <v>53</v>
      </c>
      <c r="C49" s="6">
        <f>SUMIFS('16.2-илова'!$N:$N,'16.2-илова'!$O:$O,$H:$H,'16.2-илова'!$G:$G,$B:$B)</f>
        <v>0</v>
      </c>
      <c r="D49" s="9" t="s">
        <v>66</v>
      </c>
      <c r="E49" s="9">
        <v>0</v>
      </c>
      <c r="F49" s="74">
        <f>SUMIFS('16.2-илова'!$K:$K,'16.2-илова'!$O:$O,$H:$H,'16.2-илова'!$G:$G,$B:$B)</f>
        <v>0</v>
      </c>
      <c r="G49" s="31">
        <f>SUMIFS('16.2-илова'!$L:$L,'16.2-илова'!$O:$O,$H:$H,'16.2-илова'!$G:$G,$B:$B)</f>
        <v>0</v>
      </c>
      <c r="H49" s="71">
        <v>513</v>
      </c>
    </row>
    <row r="50" spans="1:8" ht="37.5" x14ac:dyDescent="0.25">
      <c r="A50" s="8"/>
      <c r="B50" s="13" t="s">
        <v>134</v>
      </c>
      <c r="C50" s="6">
        <f>SUMIFS('16.2-илова'!$N:$N,'16.2-илова'!$O:$O,$H:$H,'16.2-илова'!$G:$G,$B:$B)+1</f>
        <v>1</v>
      </c>
      <c r="D50" s="9" t="s">
        <v>66</v>
      </c>
      <c r="E50" s="9">
        <v>1</v>
      </c>
      <c r="F50" s="74">
        <v>1300</v>
      </c>
      <c r="G50" s="31">
        <v>1207.8</v>
      </c>
      <c r="H50" s="71"/>
    </row>
    <row r="51" spans="1:8" ht="37.5" x14ac:dyDescent="0.25">
      <c r="A51" s="8">
        <f>1+A49</f>
        <v>2</v>
      </c>
      <c r="B51" s="13" t="s">
        <v>52</v>
      </c>
      <c r="C51" s="6">
        <v>1</v>
      </c>
      <c r="D51" s="9" t="s">
        <v>66</v>
      </c>
      <c r="E51" s="9">
        <v>1</v>
      </c>
      <c r="F51" s="74">
        <v>400</v>
      </c>
      <c r="G51" s="31">
        <v>376.5</v>
      </c>
      <c r="H51" s="71">
        <v>513</v>
      </c>
    </row>
    <row r="52" spans="1:8" ht="18.75" x14ac:dyDescent="0.25">
      <c r="A52" s="8">
        <f t="shared" ref="A52:A61" si="3">1+A51</f>
        <v>3</v>
      </c>
      <c r="B52" s="13" t="s">
        <v>57</v>
      </c>
      <c r="C52" s="6">
        <f>SUMIFS('16.2-илова'!$N:$N,'16.2-илова'!$O:$O,$H:$H,'16.2-илова'!$G:$G,$B:$B)</f>
        <v>0</v>
      </c>
      <c r="D52" s="9" t="s">
        <v>67</v>
      </c>
      <c r="E52" s="9">
        <v>0</v>
      </c>
      <c r="F52" s="74">
        <f>SUMIFS('16.2-илова'!$K:$K,'16.2-илова'!$O:$O,$H:$H,'16.2-илова'!$G:$G,$B:$B)</f>
        <v>0</v>
      </c>
      <c r="G52" s="31">
        <f>SUMIFS('16.2-илова'!$L:$L,'16.2-илова'!$O:$O,$H:$H,'16.2-илова'!$G:$G,$B:$B)</f>
        <v>0</v>
      </c>
      <c r="H52" s="71">
        <v>513</v>
      </c>
    </row>
    <row r="53" spans="1:8" ht="37.5" x14ac:dyDescent="0.25">
      <c r="A53" s="8">
        <f t="shared" si="3"/>
        <v>4</v>
      </c>
      <c r="B53" s="13" t="s">
        <v>54</v>
      </c>
      <c r="C53" s="6">
        <f>1+1</f>
        <v>2</v>
      </c>
      <c r="D53" s="9" t="s">
        <v>67</v>
      </c>
      <c r="E53" s="9">
        <f>2000+2200</f>
        <v>4200</v>
      </c>
      <c r="F53" s="74">
        <f>1050+1320</f>
        <v>2370</v>
      </c>
      <c r="G53" s="31">
        <v>2173.3000000000002</v>
      </c>
      <c r="H53" s="71">
        <v>513</v>
      </c>
    </row>
    <row r="54" spans="1:8" ht="18.75" x14ac:dyDescent="0.25">
      <c r="A54" s="8">
        <v>4</v>
      </c>
      <c r="B54" s="13" t="s">
        <v>58</v>
      </c>
      <c r="C54" s="6">
        <f>SUMIFS('16.2-илова'!$N:$N,'16.2-илова'!$O:$O,$H:$H,'16.2-илова'!$G:$G,$B:$B)</f>
        <v>0</v>
      </c>
      <c r="D54" s="9" t="s">
        <v>66</v>
      </c>
      <c r="E54" s="9">
        <v>0</v>
      </c>
      <c r="F54" s="74">
        <f>SUMIFS('16.2-илова'!$K:$K,'16.2-илова'!$O:$O,$H:$H,'16.2-илова'!$G:$G,$B:$B)</f>
        <v>0</v>
      </c>
      <c r="G54" s="31">
        <f>SUMIFS('16.2-илова'!$L:$L,'16.2-илова'!$O:$O,$H:$H,'16.2-илова'!$G:$G,$B:$B)</f>
        <v>0</v>
      </c>
      <c r="H54" s="71">
        <v>513</v>
      </c>
    </row>
    <row r="55" spans="1:8" ht="18.75" x14ac:dyDescent="0.25">
      <c r="A55" s="8">
        <f t="shared" si="3"/>
        <v>5</v>
      </c>
      <c r="B55" s="13" t="s">
        <v>59</v>
      </c>
      <c r="C55" s="6">
        <f>SUMIFS('16.2-илова'!$N:$N,'16.2-илова'!$O:$O,$H:$H,'16.2-илова'!$G:$G,$B:$B)</f>
        <v>0</v>
      </c>
      <c r="D55" s="9" t="s">
        <v>66</v>
      </c>
      <c r="E55" s="9">
        <v>0</v>
      </c>
      <c r="F55" s="74">
        <f>SUMIFS('16.2-илова'!$K:$K,'16.2-илова'!$O:$O,$H:$H,'16.2-илова'!$G:$G,$B:$B)</f>
        <v>0</v>
      </c>
      <c r="G55" s="31">
        <f>SUMIFS('16.2-илова'!$L:$L,'16.2-илова'!$O:$O,$H:$H,'16.2-илова'!$G:$G,$B:$B)</f>
        <v>0</v>
      </c>
      <c r="H55" s="71">
        <v>513</v>
      </c>
    </row>
    <row r="56" spans="1:8" ht="37.5" x14ac:dyDescent="0.25">
      <c r="A56" s="8">
        <f t="shared" si="3"/>
        <v>6</v>
      </c>
      <c r="B56" s="13" t="s">
        <v>60</v>
      </c>
      <c r="C56" s="6">
        <f>SUMIFS('16.2-илова'!$N:$N,'16.2-илова'!$O:$O,$H:$H,'16.2-илова'!$G:$G,$B:$B)</f>
        <v>0</v>
      </c>
      <c r="D56" s="9"/>
      <c r="E56" s="9"/>
      <c r="F56" s="74">
        <f>SUMIFS('16.2-илова'!$K:$K,'16.2-илова'!$O:$O,$H:$H,'16.2-илова'!$G:$G,$B:$B)</f>
        <v>0</v>
      </c>
      <c r="G56" s="31">
        <f>SUMIFS('16.2-илова'!$L:$L,'16.2-илова'!$O:$O,$H:$H,'16.2-илова'!$G:$G,$B:$B)</f>
        <v>0</v>
      </c>
      <c r="H56" s="71">
        <v>513</v>
      </c>
    </row>
    <row r="57" spans="1:8" ht="37.5" x14ac:dyDescent="0.25">
      <c r="A57" s="8">
        <v>6</v>
      </c>
      <c r="B57" s="13" t="s">
        <v>50</v>
      </c>
      <c r="C57" s="6">
        <f>SUMIFS('16.2-илова'!$N:$N,'16.2-илова'!$O:$O,$H:$H,'16.2-илова'!$G:$G,$B:$B)</f>
        <v>0</v>
      </c>
      <c r="D57" s="9" t="s">
        <v>66</v>
      </c>
      <c r="E57" s="9"/>
      <c r="F57" s="74"/>
      <c r="G57" s="31">
        <f>SUMIFS('16.2-илова'!$L:$L,'16.2-илова'!$O:$O,$H:$H,'16.2-илова'!$G:$G,$B:$B)</f>
        <v>0</v>
      </c>
      <c r="H57" s="71">
        <v>513</v>
      </c>
    </row>
    <row r="58" spans="1:8" ht="37.5" hidden="1" x14ac:dyDescent="0.25">
      <c r="A58" s="8">
        <f t="shared" si="3"/>
        <v>7</v>
      </c>
      <c r="B58" s="13" t="s">
        <v>61</v>
      </c>
      <c r="C58" s="6">
        <f>SUMIFS('16.2-илова'!$N:$N,'16.2-илова'!$O:$O,$H:$H,'16.2-илова'!$G:$G,$B:$B)</f>
        <v>0</v>
      </c>
      <c r="D58" s="9"/>
      <c r="E58" s="9"/>
      <c r="F58" s="74">
        <f>SUMIFS('16.2-илова'!$K:$K,'16.2-илова'!$O:$O,$H:$H,'16.2-илова'!$G:$G,$B:$B)</f>
        <v>0</v>
      </c>
      <c r="G58" s="31">
        <f>SUMIFS('16.2-илова'!$L:$L,'16.2-илова'!$O:$O,$H:$H,'16.2-илова'!$G:$G,$B:$B)</f>
        <v>0</v>
      </c>
      <c r="H58" s="71">
        <v>513</v>
      </c>
    </row>
    <row r="59" spans="1:8" ht="37.5" hidden="1" x14ac:dyDescent="0.25">
      <c r="A59" s="8">
        <f t="shared" si="3"/>
        <v>8</v>
      </c>
      <c r="B59" s="13" t="s">
        <v>62</v>
      </c>
      <c r="C59" s="6">
        <f>SUMIFS('16.2-илова'!$N:$N,'16.2-илова'!$O:$O,$H:$H,'16.2-илова'!$G:$G,$B:$B)</f>
        <v>0</v>
      </c>
      <c r="D59" s="9"/>
      <c r="E59" s="9"/>
      <c r="F59" s="74">
        <f>SUMIFS('16.2-илова'!$K:$K,'16.2-илова'!$O:$O,$H:$H,'16.2-илова'!$G:$G,$B:$B)</f>
        <v>0</v>
      </c>
      <c r="G59" s="31">
        <f>SUMIFS('16.2-илова'!$L:$L,'16.2-илова'!$O:$O,$H:$H,'16.2-илова'!$G:$G,$B:$B)</f>
        <v>0</v>
      </c>
      <c r="H59" s="71">
        <v>513</v>
      </c>
    </row>
    <row r="60" spans="1:8" ht="37.5" x14ac:dyDescent="0.25">
      <c r="A60" s="8">
        <v>7</v>
      </c>
      <c r="B60" s="13" t="s">
        <v>51</v>
      </c>
      <c r="C60" s="6">
        <f>SUMIFS('16.2-илова'!$N:$N,'16.2-илова'!$O:$O,$H:$H,'16.2-илова'!$G:$G,$B:$B)+2</f>
        <v>5</v>
      </c>
      <c r="D60" s="9" t="s">
        <v>66</v>
      </c>
      <c r="E60" s="9">
        <f>3+2</f>
        <v>5</v>
      </c>
      <c r="F60" s="74">
        <f>SUMIFS('16.2-илова'!$K:$K,'16.2-илова'!$O:$O,$H:$H,'16.2-илова'!$G:$G,$B:$B)+1700</f>
        <v>3550</v>
      </c>
      <c r="G60" s="31">
        <v>2795.1</v>
      </c>
      <c r="H60" s="71">
        <v>513</v>
      </c>
    </row>
    <row r="61" spans="1:8" ht="38.25" thickBot="1" x14ac:dyDescent="0.3">
      <c r="A61" s="8">
        <f t="shared" si="3"/>
        <v>8</v>
      </c>
      <c r="B61" s="13" t="s">
        <v>49</v>
      </c>
      <c r="C61" s="6">
        <f>SUMIFS('16.2-илова'!$N:$N,'16.2-илова'!$O:$O,$H:$H,'16.2-илова'!$G:$G,$B:$B)+2</f>
        <v>19</v>
      </c>
      <c r="D61" s="9" t="s">
        <v>66</v>
      </c>
      <c r="E61" s="9">
        <f>17+2</f>
        <v>19</v>
      </c>
      <c r="F61" s="74">
        <f>SUMIFS('16.2-илова'!$K:$K,'16.2-илова'!$O:$O,$H:$H,'16.2-илова'!$G:$G,$B:$B)+2120</f>
        <v>13881.599999999999</v>
      </c>
      <c r="G61" s="31">
        <v>11599.9</v>
      </c>
      <c r="H61" s="71">
        <v>513</v>
      </c>
    </row>
    <row r="62" spans="1:8" ht="21" thickBot="1" x14ac:dyDescent="0.3">
      <c r="A62" s="68" t="s">
        <v>48</v>
      </c>
      <c r="B62" s="69" t="s">
        <v>55</v>
      </c>
      <c r="C62" s="70">
        <f>+SUM(C48:C61)</f>
        <v>28</v>
      </c>
      <c r="D62" s="70" t="s">
        <v>48</v>
      </c>
      <c r="E62" s="70" t="s">
        <v>48</v>
      </c>
      <c r="F62" s="75">
        <f>+SUM(F48:F61)</f>
        <v>21501.599999999999</v>
      </c>
      <c r="G62" s="72">
        <f>+SUM(G48:G61)</f>
        <v>18152.599999999999</v>
      </c>
      <c r="H62" s="71"/>
    </row>
    <row r="63" spans="1:8" ht="37.5" hidden="1" x14ac:dyDescent="0.25">
      <c r="A63" s="8">
        <v>1</v>
      </c>
      <c r="B63" s="13" t="s">
        <v>56</v>
      </c>
      <c r="C63" s="6">
        <f>SUMIFS('16.2-илова'!$N:$N,'16.2-илова'!$O:$O,$H:$H,'16.2-илова'!$G:$G,$B:$B)</f>
        <v>0</v>
      </c>
      <c r="D63" s="9"/>
      <c r="E63" s="9"/>
      <c r="F63" s="74">
        <f>SUMIFS('16.2-илова'!$K:$K,'16.2-илова'!$O:$O,$H:$H,'16.2-илова'!$G:$G,$B:$B)</f>
        <v>0</v>
      </c>
      <c r="G63" s="30">
        <f>SUMIFS('16.2-илова'!$L:$L,'16.2-илова'!$O:$O,$H:$H,'16.2-илова'!$G:$G,$B:$B)</f>
        <v>0</v>
      </c>
      <c r="H63" s="71">
        <v>514</v>
      </c>
    </row>
    <row r="64" spans="1:8" ht="37.5" hidden="1" x14ac:dyDescent="0.25">
      <c r="A64" s="8">
        <f>1+A63</f>
        <v>2</v>
      </c>
      <c r="B64" s="13" t="s">
        <v>53</v>
      </c>
      <c r="C64" s="6">
        <f>SUMIFS('16.2-илова'!$N:$N,'16.2-илова'!$O:$O,$H:$H,'16.2-илова'!$G:$G,$B:$B)</f>
        <v>0</v>
      </c>
      <c r="D64" s="9"/>
      <c r="E64" s="9"/>
      <c r="F64" s="74">
        <f>SUMIFS('16.2-илова'!$K:$K,'16.2-илова'!$O:$O,$H:$H,'16.2-илова'!$G:$G,$B:$B)</f>
        <v>0</v>
      </c>
      <c r="G64" s="31">
        <f>SUMIFS('16.2-илова'!$L:$L,'16.2-илова'!$O:$O,$H:$H,'16.2-илова'!$G:$G,$B:$B)</f>
        <v>0</v>
      </c>
      <c r="H64" s="71">
        <v>514</v>
      </c>
    </row>
    <row r="65" spans="1:8" ht="18.75" hidden="1" x14ac:dyDescent="0.25">
      <c r="A65" s="8" t="e">
        <f>1+#REF!</f>
        <v>#REF!</v>
      </c>
      <c r="B65" s="13" t="s">
        <v>57</v>
      </c>
      <c r="C65" s="6">
        <f>SUMIFS('16.2-илова'!$N:$N,'16.2-илова'!$O:$O,$H:$H,'16.2-илова'!$G:$G,$B:$B)</f>
        <v>0</v>
      </c>
      <c r="D65" s="9"/>
      <c r="E65" s="9"/>
      <c r="F65" s="74">
        <f>SUMIFS('16.2-илова'!$K:$K,'16.2-илова'!$O:$O,$H:$H,'16.2-илова'!$G:$G,$B:$B)</f>
        <v>0</v>
      </c>
      <c r="G65" s="31">
        <f>SUMIFS('16.2-илова'!$L:$L,'16.2-илова'!$O:$O,$H:$H,'16.2-илова'!$G:$G,$B:$B)</f>
        <v>0</v>
      </c>
      <c r="H65" s="71">
        <v>514</v>
      </c>
    </row>
    <row r="66" spans="1:8" ht="37.5" hidden="1" x14ac:dyDescent="0.25">
      <c r="A66" s="8" t="e">
        <f t="shared" ref="A66:A72" si="4">1+A65</f>
        <v>#REF!</v>
      </c>
      <c r="B66" s="13" t="s">
        <v>54</v>
      </c>
      <c r="C66" s="6">
        <f>SUMIFS('16.2-илова'!$N:$N,'16.2-илова'!$O:$O,$H:$H,'16.2-илова'!$G:$G,$B:$B)</f>
        <v>0</v>
      </c>
      <c r="D66" s="9"/>
      <c r="E66" s="9"/>
      <c r="F66" s="74">
        <f>SUMIFS('16.2-илова'!$K:$K,'16.2-илова'!$O:$O,$H:$H,'16.2-илова'!$G:$G,$B:$B)</f>
        <v>0</v>
      </c>
      <c r="G66" s="31">
        <f>SUMIFS('16.2-илова'!$L:$L,'16.2-илова'!$O:$O,$H:$H,'16.2-илова'!$G:$G,$B:$B)</f>
        <v>0</v>
      </c>
      <c r="H66" s="71">
        <v>514</v>
      </c>
    </row>
    <row r="67" spans="1:8" ht="18.75" hidden="1" x14ac:dyDescent="0.25">
      <c r="A67" s="8" t="e">
        <f t="shared" si="4"/>
        <v>#REF!</v>
      </c>
      <c r="B67" s="13" t="s">
        <v>58</v>
      </c>
      <c r="C67" s="6">
        <f>SUMIFS('16.2-илова'!$N:$N,'16.2-илова'!$O:$O,$H:$H,'16.2-илова'!$G:$G,$B:$B)</f>
        <v>0</v>
      </c>
      <c r="D67" s="9"/>
      <c r="E67" s="9"/>
      <c r="F67" s="74">
        <f>SUMIFS('16.2-илова'!$K:$K,'16.2-илова'!$O:$O,$H:$H,'16.2-илова'!$G:$G,$B:$B)</f>
        <v>0</v>
      </c>
      <c r="G67" s="31">
        <f>SUMIFS('16.2-илова'!$L:$L,'16.2-илова'!$O:$O,$H:$H,'16.2-илова'!$G:$G,$B:$B)</f>
        <v>0</v>
      </c>
      <c r="H67" s="71">
        <v>514</v>
      </c>
    </row>
    <row r="68" spans="1:8" ht="18.75" hidden="1" x14ac:dyDescent="0.25">
      <c r="A68" s="8" t="e">
        <f t="shared" si="4"/>
        <v>#REF!</v>
      </c>
      <c r="B68" s="13" t="s">
        <v>59</v>
      </c>
      <c r="C68" s="6">
        <f>SUMIFS('16.2-илова'!$N:$N,'16.2-илова'!$O:$O,$H:$H,'16.2-илова'!$G:$G,$B:$B)</f>
        <v>0</v>
      </c>
      <c r="D68" s="9"/>
      <c r="E68" s="9"/>
      <c r="F68" s="74">
        <f>SUMIFS('16.2-илова'!$K:$K,'16.2-илова'!$O:$O,$H:$H,'16.2-илова'!$G:$G,$B:$B)</f>
        <v>0</v>
      </c>
      <c r="G68" s="31">
        <f>SUMIFS('16.2-илова'!$L:$L,'16.2-илова'!$O:$O,$H:$H,'16.2-илова'!$G:$G,$B:$B)</f>
        <v>0</v>
      </c>
      <c r="H68" s="71">
        <v>514</v>
      </c>
    </row>
    <row r="69" spans="1:8" ht="37.5" hidden="1" x14ac:dyDescent="0.25">
      <c r="A69" s="8" t="e">
        <f t="shared" si="4"/>
        <v>#REF!</v>
      </c>
      <c r="B69" s="13" t="s">
        <v>60</v>
      </c>
      <c r="C69" s="6">
        <f>SUMIFS('16.2-илова'!$N:$N,'16.2-илова'!$O:$O,$H:$H,'16.2-илова'!$G:$G,$B:$B)</f>
        <v>0</v>
      </c>
      <c r="D69" s="9"/>
      <c r="E69" s="9"/>
      <c r="F69" s="74">
        <f>SUMIFS('16.2-илова'!$K:$K,'16.2-илова'!$O:$O,$H:$H,'16.2-илова'!$G:$G,$B:$B)</f>
        <v>0</v>
      </c>
      <c r="G69" s="31">
        <f>SUMIFS('16.2-илова'!$L:$L,'16.2-илова'!$O:$O,$H:$H,'16.2-илова'!$G:$G,$B:$B)</f>
        <v>0</v>
      </c>
      <c r="H69" s="71">
        <v>514</v>
      </c>
    </row>
    <row r="70" spans="1:8" ht="37.5" hidden="1" x14ac:dyDescent="0.25">
      <c r="A70" s="8" t="e">
        <f t="shared" si="4"/>
        <v>#REF!</v>
      </c>
      <c r="B70" s="13" t="s">
        <v>50</v>
      </c>
      <c r="C70" s="6">
        <f>SUMIFS('16.2-илова'!$N:$N,'16.2-илова'!$O:$O,$H:$H,'16.2-илова'!$G:$G,$B:$B)</f>
        <v>0</v>
      </c>
      <c r="D70" s="9"/>
      <c r="E70" s="9"/>
      <c r="F70" s="74">
        <f>SUMIFS('16.2-илова'!$K:$K,'16.2-илова'!$O:$O,$H:$H,'16.2-илова'!$G:$G,$B:$B)</f>
        <v>0</v>
      </c>
      <c r="G70" s="31">
        <f>SUMIFS('16.2-илова'!$L:$L,'16.2-илова'!$O:$O,$H:$H,'16.2-илова'!$G:$G,$B:$B)</f>
        <v>0</v>
      </c>
      <c r="H70" s="71">
        <v>514</v>
      </c>
    </row>
    <row r="71" spans="1:8" ht="37.5" hidden="1" x14ac:dyDescent="0.25">
      <c r="A71" s="8" t="e">
        <f t="shared" si="4"/>
        <v>#REF!</v>
      </c>
      <c r="B71" s="13" t="s">
        <v>61</v>
      </c>
      <c r="C71" s="6">
        <f>SUMIFS('16.2-илова'!$N:$N,'16.2-илова'!$O:$O,$H:$H,'16.2-илова'!$G:$G,$B:$B)</f>
        <v>0</v>
      </c>
      <c r="D71" s="9"/>
      <c r="E71" s="9"/>
      <c r="F71" s="74">
        <f>SUMIFS('16.2-илова'!$K:$K,'16.2-илова'!$O:$O,$H:$H,'16.2-илова'!$G:$G,$B:$B)</f>
        <v>0</v>
      </c>
      <c r="G71" s="31">
        <f>SUMIFS('16.2-илова'!$L:$L,'16.2-илова'!$O:$O,$H:$H,'16.2-илова'!$G:$G,$B:$B)</f>
        <v>0</v>
      </c>
      <c r="H71" s="71">
        <v>514</v>
      </c>
    </row>
    <row r="72" spans="1:8" ht="37.5" hidden="1" x14ac:dyDescent="0.25">
      <c r="A72" s="8" t="e">
        <f t="shared" si="4"/>
        <v>#REF!</v>
      </c>
      <c r="B72" s="13" t="s">
        <v>62</v>
      </c>
      <c r="C72" s="6">
        <f>SUMIFS('16.2-илова'!$N:$N,'16.2-илова'!$O:$O,$H:$H,'16.2-илова'!$G:$G,$B:$B)</f>
        <v>0</v>
      </c>
      <c r="D72" s="9"/>
      <c r="E72" s="9"/>
      <c r="F72" s="74">
        <f>SUMIFS('16.2-илова'!$K:$K,'16.2-илова'!$O:$O,$H:$H,'16.2-илова'!$G:$G,$B:$B)</f>
        <v>0</v>
      </c>
      <c r="G72" s="31">
        <f>SUMIFS('16.2-илова'!$L:$L,'16.2-илова'!$O:$O,$H:$H,'16.2-илова'!$G:$G,$B:$B)</f>
        <v>0</v>
      </c>
      <c r="H72" s="71">
        <v>514</v>
      </c>
    </row>
    <row r="73" spans="1:8" ht="37.5" hidden="1" x14ac:dyDescent="0.25">
      <c r="A73" s="8">
        <v>1</v>
      </c>
      <c r="B73" s="13" t="s">
        <v>56</v>
      </c>
      <c r="C73" s="6">
        <f>SUMIFS('16.2-илова'!$N:$N,'16.2-илова'!$O:$O,$H:$H,'16.2-илова'!$G:$G,$B:$B)</f>
        <v>0</v>
      </c>
      <c r="D73" s="9"/>
      <c r="E73" s="9"/>
      <c r="F73" s="74">
        <f>SUMIFS('16.2-илова'!$K:$K,'16.2-илова'!$O:$O,$H:$H,'16.2-илова'!$G:$G,$B:$B)</f>
        <v>0</v>
      </c>
      <c r="G73" s="30">
        <f>SUMIFS('16.2-илова'!$L:$L,'16.2-илова'!$O:$O,$H:$H,'16.2-илова'!$G:$G,$B:$B)</f>
        <v>0</v>
      </c>
      <c r="H73" s="71">
        <v>515</v>
      </c>
    </row>
    <row r="74" spans="1:8" ht="37.5" hidden="1" x14ac:dyDescent="0.25">
      <c r="A74" s="8">
        <f>1+A73</f>
        <v>2</v>
      </c>
      <c r="B74" s="13" t="s">
        <v>53</v>
      </c>
      <c r="C74" s="6">
        <f>SUMIFS('16.2-илова'!$N:$N,'16.2-илова'!$O:$O,$H:$H,'16.2-илова'!$G:$G,$B:$B)</f>
        <v>0</v>
      </c>
      <c r="D74" s="9"/>
      <c r="E74" s="9"/>
      <c r="F74" s="74">
        <f>SUMIFS('16.2-илова'!$K:$K,'16.2-илова'!$O:$O,$H:$H,'16.2-илова'!$G:$G,$B:$B)</f>
        <v>0</v>
      </c>
      <c r="G74" s="31">
        <f>SUMIFS('16.2-илова'!$L:$L,'16.2-илова'!$O:$O,$H:$H,'16.2-илова'!$G:$G,$B:$B)</f>
        <v>0</v>
      </c>
      <c r="H74" s="71">
        <v>515</v>
      </c>
    </row>
    <row r="75" spans="1:8" ht="18.75" hidden="1" x14ac:dyDescent="0.25">
      <c r="A75" s="8" t="e">
        <f>1+#REF!</f>
        <v>#REF!</v>
      </c>
      <c r="B75" s="13" t="s">
        <v>58</v>
      </c>
      <c r="C75" s="6">
        <f>SUMIFS('16.2-илова'!$N:$N,'16.2-илова'!$O:$O,$H:$H,'16.2-илова'!$G:$G,$B:$B)</f>
        <v>0</v>
      </c>
      <c r="D75" s="9"/>
      <c r="E75" s="9"/>
      <c r="F75" s="74">
        <f>SUMIFS('16.2-илова'!$K:$K,'16.2-илова'!$O:$O,$H:$H,'16.2-илова'!$G:$G,$B:$B)</f>
        <v>0</v>
      </c>
      <c r="G75" s="31">
        <f>SUMIFS('16.2-илова'!$L:$L,'16.2-илова'!$O:$O,$H:$H,'16.2-илова'!$G:$G,$B:$B)</f>
        <v>0</v>
      </c>
      <c r="H75" s="71">
        <v>515</v>
      </c>
    </row>
    <row r="76" spans="1:8" ht="37.5" hidden="1" x14ac:dyDescent="0.25">
      <c r="A76" s="8" t="e">
        <f>1+#REF!</f>
        <v>#REF!</v>
      </c>
      <c r="B76" s="13" t="s">
        <v>60</v>
      </c>
      <c r="C76" s="6">
        <f>SUMIFS('16.2-илова'!$N:$N,'16.2-илова'!$O:$O,$H:$H,'16.2-илова'!$G:$G,$B:$B)</f>
        <v>0</v>
      </c>
      <c r="D76" s="9"/>
      <c r="E76" s="9"/>
      <c r="F76" s="74">
        <f>SUMIFS('16.2-илова'!$K:$K,'16.2-илова'!$O:$O,$H:$H,'16.2-илова'!$G:$G,$B:$B)</f>
        <v>0</v>
      </c>
      <c r="G76" s="31">
        <f>SUMIFS('16.2-илова'!$L:$L,'16.2-илова'!$O:$O,$H:$H,'16.2-илова'!$G:$G,$B:$B)</f>
        <v>0</v>
      </c>
      <c r="H76" s="71">
        <v>515</v>
      </c>
    </row>
    <row r="77" spans="1:8" ht="37.5" hidden="1" x14ac:dyDescent="0.25">
      <c r="A77" s="8" t="e">
        <f>1+#REF!</f>
        <v>#REF!</v>
      </c>
      <c r="B77" s="13" t="s">
        <v>61</v>
      </c>
      <c r="C77" s="6">
        <f>SUMIFS('16.2-илова'!$N:$N,'16.2-илова'!$O:$O,$H:$H,'16.2-илова'!$G:$G,$B:$B)</f>
        <v>0</v>
      </c>
      <c r="D77" s="9"/>
      <c r="E77" s="9"/>
      <c r="F77" s="74">
        <f>SUMIFS('16.2-илова'!$K:$K,'16.2-илова'!$O:$O,$H:$H,'16.2-илова'!$G:$G,$B:$B)</f>
        <v>0</v>
      </c>
      <c r="G77" s="31">
        <f>SUMIFS('16.2-илова'!$L:$L,'16.2-илова'!$O:$O,$H:$H,'16.2-илова'!$G:$G,$B:$B)</f>
        <v>0</v>
      </c>
      <c r="H77" s="71">
        <v>515</v>
      </c>
    </row>
    <row r="78" spans="1:8" ht="37.5" hidden="1" x14ac:dyDescent="0.25">
      <c r="A78" s="8" t="e">
        <f>1+#REF!</f>
        <v>#REF!</v>
      </c>
      <c r="B78" s="13" t="s">
        <v>52</v>
      </c>
      <c r="C78" s="6">
        <f>SUMIFS('16.2-илова'!$N:$N,'16.2-илова'!$O:$O,$H:$H,'16.2-илова'!$G:$G,$B:$B)</f>
        <v>0</v>
      </c>
      <c r="D78" s="9"/>
      <c r="E78" s="9"/>
      <c r="F78" s="74">
        <f>SUMIFS('16.2-илова'!$K:$K,'16.2-илова'!$O:$O,$H:$H,'16.2-илова'!$G:$G,$B:$B)</f>
        <v>0</v>
      </c>
      <c r="G78" s="31">
        <f>SUMIFS('16.2-илова'!$L:$L,'16.2-илова'!$O:$O,$H:$H,'16.2-илова'!$G:$G,$B:$B)</f>
        <v>0</v>
      </c>
      <c r="H78" s="71">
        <v>516</v>
      </c>
    </row>
    <row r="79" spans="1:8" ht="18.75" hidden="1" x14ac:dyDescent="0.25">
      <c r="A79" s="8" t="e">
        <f>1+A78</f>
        <v>#REF!</v>
      </c>
      <c r="B79" s="13" t="s">
        <v>57</v>
      </c>
      <c r="C79" s="6">
        <f>SUMIFS('16.2-илова'!$N:$N,'16.2-илова'!$O:$O,$H:$H,'16.2-илова'!$G:$G,$B:$B)</f>
        <v>0</v>
      </c>
      <c r="D79" s="9"/>
      <c r="E79" s="9"/>
      <c r="F79" s="74">
        <f>SUMIFS('16.2-илова'!$K:$K,'16.2-илова'!$O:$O,$H:$H,'16.2-илова'!$G:$G,$B:$B)</f>
        <v>0</v>
      </c>
      <c r="G79" s="31">
        <f>SUMIFS('16.2-илова'!$L:$L,'16.2-илова'!$O:$O,$H:$H,'16.2-илова'!$G:$G,$B:$B)</f>
        <v>0</v>
      </c>
      <c r="H79" s="71">
        <v>516</v>
      </c>
    </row>
    <row r="80" spans="1:8" ht="18.75" hidden="1" x14ac:dyDescent="0.25">
      <c r="A80" s="8" t="e">
        <f>1+#REF!</f>
        <v>#REF!</v>
      </c>
      <c r="B80" s="13" t="s">
        <v>58</v>
      </c>
      <c r="C80" s="6">
        <f>SUMIFS('16.2-илова'!$N:$N,'16.2-илова'!$O:$O,$H:$H,'16.2-илова'!$G:$G,$B:$B)</f>
        <v>0</v>
      </c>
      <c r="D80" s="9"/>
      <c r="E80" s="9"/>
      <c r="F80" s="74">
        <f>SUMIFS('16.2-илова'!$K:$K,'16.2-илова'!$O:$O,$H:$H,'16.2-илова'!$G:$G,$B:$B)</f>
        <v>0</v>
      </c>
      <c r="G80" s="31">
        <f>SUMIFS('16.2-илова'!$L:$L,'16.2-илова'!$O:$O,$H:$H,'16.2-илова'!$G:$G,$B:$B)</f>
        <v>0</v>
      </c>
      <c r="H80" s="71">
        <v>516</v>
      </c>
    </row>
    <row r="81" spans="1:8" ht="37.5" hidden="1" x14ac:dyDescent="0.25">
      <c r="A81" s="8" t="e">
        <f>1+#REF!</f>
        <v>#REF!</v>
      </c>
      <c r="B81" s="13" t="s">
        <v>50</v>
      </c>
      <c r="C81" s="6">
        <f>SUMIFS('16.2-илова'!$N:$N,'16.2-илова'!$O:$O,$H:$H,'16.2-илова'!$G:$G,$B:$B)</f>
        <v>0</v>
      </c>
      <c r="D81" s="9"/>
      <c r="E81" s="9"/>
      <c r="F81" s="74">
        <f>SUMIFS('16.2-илова'!$K:$K,'16.2-илова'!$O:$O,$H:$H,'16.2-илова'!$G:$G,$B:$B)</f>
        <v>0</v>
      </c>
      <c r="G81" s="31">
        <f>SUMIFS('16.2-илова'!$L:$L,'16.2-илова'!$O:$O,$H:$H,'16.2-илова'!$G:$G,$B:$B)</f>
        <v>0</v>
      </c>
      <c r="H81" s="71">
        <v>516</v>
      </c>
    </row>
    <row r="82" spans="1:8" ht="37.5" hidden="1" x14ac:dyDescent="0.25">
      <c r="A82" s="8" t="e">
        <f>1+A81</f>
        <v>#REF!</v>
      </c>
      <c r="B82" s="13" t="s">
        <v>61</v>
      </c>
      <c r="C82" s="6">
        <f>SUMIFS('16.2-илова'!$N:$N,'16.2-илова'!$O:$O,$H:$H,'16.2-илова'!$G:$G,$B:$B)</f>
        <v>0</v>
      </c>
      <c r="D82" s="9"/>
      <c r="E82" s="9"/>
      <c r="F82" s="74">
        <f>SUMIFS('16.2-илова'!$K:$K,'16.2-илова'!$O:$O,$H:$H,'16.2-илова'!$G:$G,$B:$B)</f>
        <v>0</v>
      </c>
      <c r="G82" s="31">
        <f>SUMIFS('16.2-илова'!$L:$L,'16.2-илова'!$O:$O,$H:$H,'16.2-илова'!$G:$G,$B:$B)</f>
        <v>0</v>
      </c>
      <c r="H82" s="71">
        <v>516</v>
      </c>
    </row>
    <row r="83" spans="1:8" ht="37.5" hidden="1" x14ac:dyDescent="0.25">
      <c r="A83" s="8" t="e">
        <f>1+A82</f>
        <v>#REF!</v>
      </c>
      <c r="B83" s="13" t="s">
        <v>62</v>
      </c>
      <c r="C83" s="6">
        <f>SUMIFS('16.2-илова'!$N:$N,'16.2-илова'!$O:$O,$H:$H,'16.2-илова'!$G:$G,$B:$B)</f>
        <v>0</v>
      </c>
      <c r="D83" s="9"/>
      <c r="E83" s="9"/>
      <c r="F83" s="74">
        <f>SUMIFS('16.2-илова'!$K:$K,'16.2-илова'!$O:$O,$H:$H,'16.2-илова'!$G:$G,$B:$B)</f>
        <v>0</v>
      </c>
      <c r="G83" s="31">
        <f>SUMIFS('16.2-илова'!$L:$L,'16.2-илова'!$O:$O,$H:$H,'16.2-илова'!$G:$G,$B:$B)</f>
        <v>0</v>
      </c>
      <c r="H83" s="71">
        <v>516</v>
      </c>
    </row>
    <row r="84" spans="1:8" ht="18.75" hidden="1" x14ac:dyDescent="0.25">
      <c r="A84" s="8" t="e">
        <f>1+#REF!</f>
        <v>#REF!</v>
      </c>
      <c r="B84" s="13" t="s">
        <v>57</v>
      </c>
      <c r="C84" s="6">
        <f>SUMIFS('16.2-илова'!$N:$N,'16.2-илова'!$O:$O,$H:$H,'16.2-илова'!$G:$G,$B:$B)</f>
        <v>0</v>
      </c>
      <c r="D84" s="9"/>
      <c r="E84" s="9"/>
      <c r="F84" s="74">
        <f>SUMIFS('16.2-илова'!$K:$K,'16.2-илова'!$O:$O,$H:$H,'16.2-илова'!$G:$G,$B:$B)</f>
        <v>0</v>
      </c>
      <c r="G84" s="31">
        <f>SUMIFS('16.2-илова'!$L:$L,'16.2-илова'!$O:$O,$H:$H,'16.2-илова'!$G:$G,$B:$B)</f>
        <v>0</v>
      </c>
      <c r="H84" s="71">
        <v>517</v>
      </c>
    </row>
    <row r="85" spans="1:8" ht="18.75" hidden="1" x14ac:dyDescent="0.25">
      <c r="A85" s="8" t="e">
        <f>1+#REF!</f>
        <v>#REF!</v>
      </c>
      <c r="B85" s="13" t="s">
        <v>58</v>
      </c>
      <c r="C85" s="6">
        <f>SUMIFS('16.2-илова'!$N:$N,'16.2-илова'!$O:$O,$H:$H,'16.2-илова'!$G:$G,$B:$B)</f>
        <v>0</v>
      </c>
      <c r="D85" s="9"/>
      <c r="E85" s="9"/>
      <c r="F85" s="74">
        <f>SUMIFS('16.2-илова'!$K:$K,'16.2-илова'!$O:$O,$H:$H,'16.2-илова'!$G:$G,$B:$B)</f>
        <v>0</v>
      </c>
      <c r="G85" s="31">
        <f>SUMIFS('16.2-илова'!$L:$L,'16.2-илова'!$O:$O,$H:$H,'16.2-илова'!$G:$G,$B:$B)</f>
        <v>0</v>
      </c>
      <c r="H85" s="71">
        <v>517</v>
      </c>
    </row>
    <row r="86" spans="1:8" ht="18.75" hidden="1" x14ac:dyDescent="0.25">
      <c r="A86" s="8" t="e">
        <f>1+A85</f>
        <v>#REF!</v>
      </c>
      <c r="B86" s="13" t="s">
        <v>59</v>
      </c>
      <c r="C86" s="6">
        <f>SUMIFS('16.2-илова'!$N:$N,'16.2-илова'!$O:$O,$H:$H,'16.2-илова'!$G:$G,$B:$B)</f>
        <v>0</v>
      </c>
      <c r="D86" s="9"/>
      <c r="E86" s="9"/>
      <c r="F86" s="74">
        <f>SUMIFS('16.2-илова'!$K:$K,'16.2-илова'!$O:$O,$H:$H,'16.2-илова'!$G:$G,$B:$B)</f>
        <v>0</v>
      </c>
      <c r="G86" s="31">
        <f>SUMIFS('16.2-илова'!$L:$L,'16.2-илова'!$O:$O,$H:$H,'16.2-илова'!$G:$G,$B:$B)</f>
        <v>0</v>
      </c>
      <c r="H86" s="71">
        <v>517</v>
      </c>
    </row>
    <row r="87" spans="1:8" ht="37.5" hidden="1" x14ac:dyDescent="0.25">
      <c r="A87" s="8" t="e">
        <f>1+A86</f>
        <v>#REF!</v>
      </c>
      <c r="B87" s="13" t="s">
        <v>60</v>
      </c>
      <c r="C87" s="6">
        <f>SUMIFS('16.2-илова'!$N:$N,'16.2-илова'!$O:$O,$H:$H,'16.2-илова'!$G:$G,$B:$B)</f>
        <v>0</v>
      </c>
      <c r="D87" s="9"/>
      <c r="E87" s="9"/>
      <c r="F87" s="74">
        <f>SUMIFS('16.2-илова'!$K:$K,'16.2-илова'!$O:$O,$H:$H,'16.2-илова'!$G:$G,$B:$B)</f>
        <v>0</v>
      </c>
      <c r="G87" s="31">
        <f>SUMIFS('16.2-илова'!$L:$L,'16.2-илова'!$O:$O,$H:$H,'16.2-илова'!$G:$G,$B:$B)</f>
        <v>0</v>
      </c>
      <c r="H87" s="71">
        <v>517</v>
      </c>
    </row>
    <row r="88" spans="1:8" ht="37.5" hidden="1" x14ac:dyDescent="0.25">
      <c r="A88" s="8" t="e">
        <f>1+#REF!</f>
        <v>#REF!</v>
      </c>
      <c r="B88" s="13" t="s">
        <v>62</v>
      </c>
      <c r="C88" s="6">
        <f>SUMIFS('16.2-илова'!$N:$N,'16.2-илова'!$O:$O,$H:$H,'16.2-илова'!$G:$G,$B:$B)</f>
        <v>0</v>
      </c>
      <c r="D88" s="9"/>
      <c r="E88" s="9"/>
      <c r="F88" s="74">
        <f>SUMIFS('16.2-илова'!$K:$K,'16.2-илова'!$O:$O,$H:$H,'16.2-илова'!$G:$G,$B:$B)</f>
        <v>0</v>
      </c>
      <c r="G88" s="31">
        <f>SUMIFS('16.2-илова'!$L:$L,'16.2-илова'!$O:$O,$H:$H,'16.2-илова'!$G:$G,$B:$B)</f>
        <v>0</v>
      </c>
      <c r="H88" s="71">
        <v>517</v>
      </c>
    </row>
    <row r="89" spans="1:8" ht="37.5" hidden="1" x14ac:dyDescent="0.25">
      <c r="A89" s="8">
        <v>1</v>
      </c>
      <c r="B89" s="13" t="s">
        <v>56</v>
      </c>
      <c r="C89" s="6">
        <f>SUMIFS('16.2-илова'!$N:$N,'16.2-илова'!$O:$O,$H:$H,'16.2-илова'!$G:$G,$B:$B)</f>
        <v>0</v>
      </c>
      <c r="D89" s="9"/>
      <c r="E89" s="9"/>
      <c r="F89" s="74">
        <f>SUMIFS('16.2-илова'!$K:$K,'16.2-илова'!$O:$O,$H:$H,'16.2-илова'!$G:$G,$B:$B)</f>
        <v>0</v>
      </c>
      <c r="G89" s="30">
        <f>SUMIFS('16.2-илова'!$L:$L,'16.2-илова'!$O:$O,$H:$H,'16.2-илова'!$G:$G,$B:$B)</f>
        <v>0</v>
      </c>
      <c r="H89" s="71">
        <v>518</v>
      </c>
    </row>
    <row r="90" spans="1:8" ht="37.5" hidden="1" x14ac:dyDescent="0.25">
      <c r="A90" s="8">
        <f>1+A89</f>
        <v>2</v>
      </c>
      <c r="B90" s="13" t="s">
        <v>53</v>
      </c>
      <c r="C90" s="6">
        <f>SUMIFS('16.2-илова'!$N:$N,'16.2-илова'!$O:$O,$H:$H,'16.2-илова'!$G:$G,$B:$B)</f>
        <v>0</v>
      </c>
      <c r="D90" s="9"/>
      <c r="E90" s="9"/>
      <c r="F90" s="74">
        <f>SUMIFS('16.2-илова'!$K:$K,'16.2-илова'!$O:$O,$H:$H,'16.2-илова'!$G:$G,$B:$B)</f>
        <v>0</v>
      </c>
      <c r="G90" s="31">
        <f>SUMIFS('16.2-илова'!$L:$L,'16.2-илова'!$O:$O,$H:$H,'16.2-илова'!$G:$G,$B:$B)</f>
        <v>0</v>
      </c>
      <c r="H90" s="71">
        <v>518</v>
      </c>
    </row>
    <row r="91" spans="1:8" ht="18.75" hidden="1" x14ac:dyDescent="0.25">
      <c r="A91" s="8" t="e">
        <f>1+#REF!</f>
        <v>#REF!</v>
      </c>
      <c r="B91" s="13" t="s">
        <v>57</v>
      </c>
      <c r="C91" s="6">
        <f>SUMIFS('16.2-илова'!$N:$N,'16.2-илова'!$O:$O,$H:$H,'16.2-илова'!$G:$G,$B:$B)</f>
        <v>0</v>
      </c>
      <c r="D91" s="9"/>
      <c r="E91" s="9"/>
      <c r="F91" s="74">
        <f>SUMIFS('16.2-илова'!$K:$K,'16.2-илова'!$O:$O,$H:$H,'16.2-илова'!$G:$G,$B:$B)</f>
        <v>0</v>
      </c>
      <c r="G91" s="31">
        <f>SUMIFS('16.2-илова'!$L:$L,'16.2-илова'!$O:$O,$H:$H,'16.2-илова'!$G:$G,$B:$B)</f>
        <v>0</v>
      </c>
      <c r="H91" s="71">
        <v>518</v>
      </c>
    </row>
    <row r="92" spans="1:8" ht="37.5" hidden="1" x14ac:dyDescent="0.25">
      <c r="A92" s="8" t="e">
        <f t="shared" ref="A92:A97" si="5">1+A91</f>
        <v>#REF!</v>
      </c>
      <c r="B92" s="13" t="s">
        <v>54</v>
      </c>
      <c r="C92" s="6">
        <f>SUMIFS('16.2-илова'!$N:$N,'16.2-илова'!$O:$O,$H:$H,'16.2-илова'!$G:$G,$B:$B)</f>
        <v>0</v>
      </c>
      <c r="D92" s="9"/>
      <c r="E92" s="9"/>
      <c r="F92" s="74">
        <f>SUMIFS('16.2-илова'!$K:$K,'16.2-илова'!$O:$O,$H:$H,'16.2-илова'!$G:$G,$B:$B)</f>
        <v>0</v>
      </c>
      <c r="G92" s="31">
        <f>SUMIFS('16.2-илова'!$L:$L,'16.2-илова'!$O:$O,$H:$H,'16.2-илова'!$G:$G,$B:$B)</f>
        <v>0</v>
      </c>
      <c r="H92" s="71">
        <v>518</v>
      </c>
    </row>
    <row r="93" spans="1:8" ht="18.75" hidden="1" x14ac:dyDescent="0.25">
      <c r="A93" s="8" t="e">
        <f t="shared" si="5"/>
        <v>#REF!</v>
      </c>
      <c r="B93" s="13" t="s">
        <v>58</v>
      </c>
      <c r="C93" s="6">
        <f>SUMIFS('16.2-илова'!$N:$N,'16.2-илова'!$O:$O,$H:$H,'16.2-илова'!$G:$G,$B:$B)</f>
        <v>0</v>
      </c>
      <c r="D93" s="9"/>
      <c r="E93" s="9"/>
      <c r="F93" s="74">
        <f>SUMIFS('16.2-илова'!$K:$K,'16.2-илова'!$O:$O,$H:$H,'16.2-илова'!$G:$G,$B:$B)</f>
        <v>0</v>
      </c>
      <c r="G93" s="31">
        <f>SUMIFS('16.2-илова'!$L:$L,'16.2-илова'!$O:$O,$H:$H,'16.2-илова'!$G:$G,$B:$B)</f>
        <v>0</v>
      </c>
      <c r="H93" s="71">
        <v>518</v>
      </c>
    </row>
    <row r="94" spans="1:8" ht="18.75" hidden="1" x14ac:dyDescent="0.25">
      <c r="A94" s="8" t="e">
        <f t="shared" si="5"/>
        <v>#REF!</v>
      </c>
      <c r="B94" s="13" t="s">
        <v>59</v>
      </c>
      <c r="C94" s="6">
        <f>SUMIFS('16.2-илова'!$N:$N,'16.2-илова'!$O:$O,$H:$H,'16.2-илова'!$G:$G,$B:$B)</f>
        <v>0</v>
      </c>
      <c r="D94" s="9"/>
      <c r="E94" s="9"/>
      <c r="F94" s="74">
        <f>SUMIFS('16.2-илова'!$K:$K,'16.2-илова'!$O:$O,$H:$H,'16.2-илова'!$G:$G,$B:$B)</f>
        <v>0</v>
      </c>
      <c r="G94" s="31">
        <f>SUMIFS('16.2-илова'!$L:$L,'16.2-илова'!$O:$O,$H:$H,'16.2-илова'!$G:$G,$B:$B)</f>
        <v>0</v>
      </c>
      <c r="H94" s="71">
        <v>518</v>
      </c>
    </row>
    <row r="95" spans="1:8" ht="37.5" hidden="1" x14ac:dyDescent="0.25">
      <c r="A95" s="8" t="e">
        <f t="shared" si="5"/>
        <v>#REF!</v>
      </c>
      <c r="B95" s="13" t="s">
        <v>60</v>
      </c>
      <c r="C95" s="6">
        <f>SUMIFS('16.2-илова'!$N:$N,'16.2-илова'!$O:$O,$H:$H,'16.2-илова'!$G:$G,$B:$B)</f>
        <v>0</v>
      </c>
      <c r="D95" s="9"/>
      <c r="E95" s="9"/>
      <c r="F95" s="74">
        <f>SUMIFS('16.2-илова'!$K:$K,'16.2-илова'!$O:$O,$H:$H,'16.2-илова'!$G:$G,$B:$B)</f>
        <v>0</v>
      </c>
      <c r="G95" s="31">
        <f>SUMIFS('16.2-илова'!$L:$L,'16.2-илова'!$O:$O,$H:$H,'16.2-илова'!$G:$G,$B:$B)</f>
        <v>0</v>
      </c>
      <c r="H95" s="71">
        <v>518</v>
      </c>
    </row>
    <row r="96" spans="1:8" ht="37.5" hidden="1" x14ac:dyDescent="0.25">
      <c r="A96" s="8" t="e">
        <f>1+#REF!</f>
        <v>#REF!</v>
      </c>
      <c r="B96" s="13" t="s">
        <v>61</v>
      </c>
      <c r="C96" s="6">
        <f>SUMIFS('16.2-илова'!$N:$N,'16.2-илова'!$O:$O,$H:$H,'16.2-илова'!$G:$G,$B:$B)</f>
        <v>0</v>
      </c>
      <c r="D96" s="9"/>
      <c r="E96" s="9"/>
      <c r="F96" s="74">
        <f>SUMIFS('16.2-илова'!$K:$K,'16.2-илова'!$O:$O,$H:$H,'16.2-илова'!$G:$G,$B:$B)</f>
        <v>0</v>
      </c>
      <c r="G96" s="31">
        <f>SUMIFS('16.2-илова'!$L:$L,'16.2-илова'!$O:$O,$H:$H,'16.2-илова'!$G:$G,$B:$B)</f>
        <v>0</v>
      </c>
      <c r="H96" s="71">
        <v>518</v>
      </c>
    </row>
    <row r="97" spans="1:8" ht="37.5" hidden="1" x14ac:dyDescent="0.25">
      <c r="A97" s="8" t="e">
        <f t="shared" si="5"/>
        <v>#REF!</v>
      </c>
      <c r="B97" s="13" t="s">
        <v>62</v>
      </c>
      <c r="C97" s="6">
        <f>SUMIFS('16.2-илова'!$N:$N,'16.2-илова'!$O:$O,$H:$H,'16.2-илова'!$G:$G,$B:$B)</f>
        <v>0</v>
      </c>
      <c r="D97" s="9"/>
      <c r="E97" s="9"/>
      <c r="F97" s="74">
        <f>SUMIFS('16.2-илова'!$K:$K,'16.2-илова'!$O:$O,$H:$H,'16.2-илова'!$G:$G,$B:$B)</f>
        <v>0</v>
      </c>
      <c r="G97" s="31">
        <f>SUMIFS('16.2-илова'!$L:$L,'16.2-илова'!$O:$O,$H:$H,'16.2-илова'!$G:$G,$B:$B)</f>
        <v>0</v>
      </c>
      <c r="H97" s="71">
        <v>518</v>
      </c>
    </row>
    <row r="98" spans="1:8" ht="37.5" hidden="1" x14ac:dyDescent="0.25">
      <c r="A98" s="8">
        <v>1</v>
      </c>
      <c r="B98" s="13" t="s">
        <v>56</v>
      </c>
      <c r="C98" s="6">
        <f>SUMIFS('16.2-илова'!$N:$N,'16.2-илова'!$O:$O,$H:$H,'16.2-илова'!$G:$G,$B:$B)</f>
        <v>0</v>
      </c>
      <c r="D98" s="9"/>
      <c r="E98" s="9"/>
      <c r="F98" s="74">
        <f>SUMIFS('16.2-илова'!$K:$K,'16.2-илова'!$O:$O,$H:$H,'16.2-илова'!$G:$G,$B:$B)</f>
        <v>0</v>
      </c>
      <c r="G98" s="30">
        <f>SUMIFS('16.2-илова'!$L:$L,'16.2-илова'!$O:$O,$H:$H,'16.2-илова'!$G:$G,$B:$B)</f>
        <v>0</v>
      </c>
      <c r="H98" s="71">
        <v>519</v>
      </c>
    </row>
    <row r="99" spans="1:8" ht="37.5" hidden="1" x14ac:dyDescent="0.25">
      <c r="A99" s="8">
        <f>1+A98</f>
        <v>2</v>
      </c>
      <c r="B99" s="13" t="s">
        <v>53</v>
      </c>
      <c r="C99" s="6">
        <f>SUMIFS('16.2-илова'!$N:$N,'16.2-илова'!$O:$O,$H:$H,'16.2-илова'!$G:$G,$B:$B)</f>
        <v>0</v>
      </c>
      <c r="D99" s="9"/>
      <c r="E99" s="9"/>
      <c r="F99" s="74">
        <f>SUMIFS('16.2-илова'!$K:$K,'16.2-илова'!$O:$O,$H:$H,'16.2-илова'!$G:$G,$B:$B)</f>
        <v>0</v>
      </c>
      <c r="G99" s="31">
        <f>SUMIFS('16.2-илова'!$L:$L,'16.2-илова'!$O:$O,$H:$H,'16.2-илова'!$G:$G,$B:$B)</f>
        <v>0</v>
      </c>
      <c r="H99" s="71">
        <v>519</v>
      </c>
    </row>
    <row r="100" spans="1:8" ht="37.5" hidden="1" x14ac:dyDescent="0.25">
      <c r="A100" s="8">
        <f t="shared" ref="A100:A106" si="6">1+A99</f>
        <v>3</v>
      </c>
      <c r="B100" s="13" t="s">
        <v>52</v>
      </c>
      <c r="C100" s="6">
        <f>SUMIFS('16.2-илова'!$N:$N,'16.2-илова'!$O:$O,$H:$H,'16.2-илова'!$G:$G,$B:$B)</f>
        <v>0</v>
      </c>
      <c r="D100" s="9"/>
      <c r="E100" s="9"/>
      <c r="F100" s="74">
        <f>SUMIFS('16.2-илова'!$K:$K,'16.2-илова'!$O:$O,$H:$H,'16.2-илова'!$G:$G,$B:$B)</f>
        <v>0</v>
      </c>
      <c r="G100" s="31">
        <f>SUMIFS('16.2-илова'!$L:$L,'16.2-илова'!$O:$O,$H:$H,'16.2-илова'!$G:$G,$B:$B)</f>
        <v>0</v>
      </c>
      <c r="H100" s="71">
        <v>519</v>
      </c>
    </row>
    <row r="101" spans="1:8" ht="18.75" hidden="1" x14ac:dyDescent="0.25">
      <c r="A101" s="8">
        <f t="shared" si="6"/>
        <v>4</v>
      </c>
      <c r="B101" s="13" t="s">
        <v>57</v>
      </c>
      <c r="C101" s="6">
        <f>SUMIFS('16.2-илова'!$N:$N,'16.2-илова'!$O:$O,$H:$H,'16.2-илова'!$G:$G,$B:$B)</f>
        <v>0</v>
      </c>
      <c r="D101" s="9"/>
      <c r="E101" s="9"/>
      <c r="F101" s="74">
        <f>SUMIFS('16.2-илова'!$K:$K,'16.2-илова'!$O:$O,$H:$H,'16.2-илова'!$G:$G,$B:$B)</f>
        <v>0</v>
      </c>
      <c r="G101" s="31">
        <f>SUMIFS('16.2-илова'!$L:$L,'16.2-илова'!$O:$O,$H:$H,'16.2-илова'!$G:$G,$B:$B)</f>
        <v>0</v>
      </c>
      <c r="H101" s="71">
        <v>519</v>
      </c>
    </row>
    <row r="102" spans="1:8" ht="18.75" hidden="1" x14ac:dyDescent="0.25">
      <c r="A102" s="8" t="e">
        <f>1+#REF!</f>
        <v>#REF!</v>
      </c>
      <c r="B102" s="13" t="s">
        <v>58</v>
      </c>
      <c r="C102" s="6">
        <f>SUMIFS('16.2-илова'!$N:$N,'16.2-илова'!$O:$O,$H:$H,'16.2-илова'!$G:$G,$B:$B)</f>
        <v>0</v>
      </c>
      <c r="D102" s="9"/>
      <c r="E102" s="9"/>
      <c r="F102" s="74">
        <f>SUMIFS('16.2-илова'!$K:$K,'16.2-илова'!$O:$O,$H:$H,'16.2-илова'!$G:$G,$B:$B)</f>
        <v>0</v>
      </c>
      <c r="G102" s="31">
        <f>SUMIFS('16.2-илова'!$L:$L,'16.2-илова'!$O:$O,$H:$H,'16.2-илова'!$G:$G,$B:$B)</f>
        <v>0</v>
      </c>
      <c r="H102" s="71">
        <v>519</v>
      </c>
    </row>
    <row r="103" spans="1:8" ht="18.75" hidden="1" x14ac:dyDescent="0.25">
      <c r="A103" s="8" t="e">
        <f t="shared" si="6"/>
        <v>#REF!</v>
      </c>
      <c r="B103" s="13" t="s">
        <v>59</v>
      </c>
      <c r="C103" s="6">
        <f>SUMIFS('16.2-илова'!$N:$N,'16.2-илова'!$O:$O,$H:$H,'16.2-илова'!$G:$G,$B:$B)</f>
        <v>0</v>
      </c>
      <c r="D103" s="9"/>
      <c r="E103" s="9"/>
      <c r="F103" s="74">
        <f>SUMIFS('16.2-илова'!$K:$K,'16.2-илова'!$O:$O,$H:$H,'16.2-илова'!$G:$G,$B:$B)</f>
        <v>0</v>
      </c>
      <c r="G103" s="31">
        <f>SUMIFS('16.2-илова'!$L:$L,'16.2-илова'!$O:$O,$H:$H,'16.2-илова'!$G:$G,$B:$B)</f>
        <v>0</v>
      </c>
      <c r="H103" s="71">
        <v>519</v>
      </c>
    </row>
    <row r="104" spans="1:8" ht="37.5" hidden="1" x14ac:dyDescent="0.25">
      <c r="A104" s="8" t="e">
        <f t="shared" si="6"/>
        <v>#REF!</v>
      </c>
      <c r="B104" s="13" t="s">
        <v>60</v>
      </c>
      <c r="C104" s="6">
        <f>SUMIFS('16.2-илова'!$N:$N,'16.2-илова'!$O:$O,$H:$H,'16.2-илова'!$G:$G,$B:$B)</f>
        <v>0</v>
      </c>
      <c r="D104" s="9"/>
      <c r="E104" s="9"/>
      <c r="F104" s="74">
        <f>SUMIFS('16.2-илова'!$K:$K,'16.2-илова'!$O:$O,$H:$H,'16.2-илова'!$G:$G,$B:$B)</f>
        <v>0</v>
      </c>
      <c r="G104" s="31">
        <f>SUMIFS('16.2-илова'!$L:$L,'16.2-илова'!$O:$O,$H:$H,'16.2-илова'!$G:$G,$B:$B)</f>
        <v>0</v>
      </c>
      <c r="H104" s="71">
        <v>519</v>
      </c>
    </row>
    <row r="105" spans="1:8" ht="37.5" hidden="1" x14ac:dyDescent="0.25">
      <c r="A105" s="8" t="e">
        <f>1+#REF!</f>
        <v>#REF!</v>
      </c>
      <c r="B105" s="13" t="s">
        <v>61</v>
      </c>
      <c r="C105" s="6">
        <f>SUMIFS('16.2-илова'!$N:$N,'16.2-илова'!$O:$O,$H:$H,'16.2-илова'!$G:$G,$B:$B)</f>
        <v>0</v>
      </c>
      <c r="D105" s="9"/>
      <c r="E105" s="9"/>
      <c r="F105" s="74">
        <f>SUMIFS('16.2-илова'!$K:$K,'16.2-илова'!$O:$O,$H:$H,'16.2-илова'!$G:$G,$B:$B)</f>
        <v>0</v>
      </c>
      <c r="G105" s="31">
        <f>SUMIFS('16.2-илова'!$L:$L,'16.2-илова'!$O:$O,$H:$H,'16.2-илова'!$G:$G,$B:$B)</f>
        <v>0</v>
      </c>
      <c r="H105" s="71">
        <v>519</v>
      </c>
    </row>
    <row r="106" spans="1:8" ht="37.5" hidden="1" x14ac:dyDescent="0.25">
      <c r="A106" s="8" t="e">
        <f t="shared" si="6"/>
        <v>#REF!</v>
      </c>
      <c r="B106" s="13" t="s">
        <v>62</v>
      </c>
      <c r="C106" s="6">
        <f>SUMIFS('16.2-илова'!$N:$N,'16.2-илова'!$O:$O,$H:$H,'16.2-илова'!$G:$G,$B:$B)</f>
        <v>0</v>
      </c>
      <c r="D106" s="9"/>
      <c r="E106" s="9"/>
      <c r="F106" s="74">
        <f>SUMIFS('16.2-илова'!$K:$K,'16.2-илова'!$O:$O,$H:$H,'16.2-илова'!$G:$G,$B:$B)</f>
        <v>0</v>
      </c>
      <c r="G106" s="31">
        <f>SUMIFS('16.2-илова'!$L:$L,'16.2-илова'!$O:$O,$H:$H,'16.2-илова'!$G:$G,$B:$B)</f>
        <v>0</v>
      </c>
      <c r="H106" s="71">
        <v>519</v>
      </c>
    </row>
    <row r="107" spans="1:8" ht="18.75" hidden="1" x14ac:dyDescent="0.25">
      <c r="A107" s="8" t="e">
        <f>1+#REF!</f>
        <v>#REF!</v>
      </c>
      <c r="B107" s="13" t="s">
        <v>57</v>
      </c>
      <c r="C107" s="6">
        <f>SUMIFS('16.2-илова'!$N:$N,'16.2-илова'!$O:$O,$H:$H,'16.2-илова'!$G:$G,$B:$B)</f>
        <v>0</v>
      </c>
      <c r="D107" s="9"/>
      <c r="E107" s="9"/>
      <c r="F107" s="74">
        <f>SUMIFS('16.2-илова'!$K:$K,'16.2-илова'!$O:$O,$H:$H,'16.2-илова'!$G:$G,$B:$B)</f>
        <v>0</v>
      </c>
      <c r="G107" s="31">
        <f>SUMIFS('16.2-илова'!$L:$L,'16.2-илова'!$O:$O,$H:$H,'16.2-илова'!$G:$G,$B:$B)</f>
        <v>0</v>
      </c>
      <c r="H107" s="71">
        <v>520</v>
      </c>
    </row>
    <row r="108" spans="1:8" ht="37.5" hidden="1" x14ac:dyDescent="0.25">
      <c r="A108" s="8" t="e">
        <f t="shared" ref="A108:A113" si="7">1+A107</f>
        <v>#REF!</v>
      </c>
      <c r="B108" s="13" t="s">
        <v>54</v>
      </c>
      <c r="C108" s="6">
        <f>SUMIFS('16.2-илова'!$N:$N,'16.2-илова'!$O:$O,$H:$H,'16.2-илова'!$G:$G,$B:$B)</f>
        <v>0</v>
      </c>
      <c r="D108" s="9"/>
      <c r="E108" s="9"/>
      <c r="F108" s="74">
        <f>SUMIFS('16.2-илова'!$K:$K,'16.2-илова'!$O:$O,$H:$H,'16.2-илова'!$G:$G,$B:$B)</f>
        <v>0</v>
      </c>
      <c r="G108" s="31">
        <f>SUMIFS('16.2-илова'!$L:$L,'16.2-илова'!$O:$O,$H:$H,'16.2-илова'!$G:$G,$B:$B)</f>
        <v>0</v>
      </c>
      <c r="H108" s="71">
        <v>520</v>
      </c>
    </row>
    <row r="109" spans="1:8" ht="18.75" hidden="1" x14ac:dyDescent="0.25">
      <c r="A109" s="8" t="e">
        <f t="shared" si="7"/>
        <v>#REF!</v>
      </c>
      <c r="B109" s="13" t="s">
        <v>58</v>
      </c>
      <c r="C109" s="6">
        <f>SUMIFS('16.2-илова'!$N:$N,'16.2-илова'!$O:$O,$H:$H,'16.2-илова'!$G:$G,$B:$B)</f>
        <v>0</v>
      </c>
      <c r="D109" s="9"/>
      <c r="E109" s="9"/>
      <c r="F109" s="74">
        <f>SUMIFS('16.2-илова'!$K:$K,'16.2-илова'!$O:$O,$H:$H,'16.2-илова'!$G:$G,$B:$B)</f>
        <v>0</v>
      </c>
      <c r="G109" s="31">
        <f>SUMIFS('16.2-илова'!$L:$L,'16.2-илова'!$O:$O,$H:$H,'16.2-илова'!$G:$G,$B:$B)</f>
        <v>0</v>
      </c>
      <c r="H109" s="71">
        <v>520</v>
      </c>
    </row>
    <row r="110" spans="1:8" ht="18.75" hidden="1" x14ac:dyDescent="0.25">
      <c r="A110" s="8" t="e">
        <f t="shared" si="7"/>
        <v>#REF!</v>
      </c>
      <c r="B110" s="13" t="s">
        <v>59</v>
      </c>
      <c r="C110" s="6">
        <f>SUMIFS('16.2-илова'!$N:$N,'16.2-илова'!$O:$O,$H:$H,'16.2-илова'!$G:$G,$B:$B)</f>
        <v>0</v>
      </c>
      <c r="D110" s="9"/>
      <c r="E110" s="9"/>
      <c r="F110" s="74">
        <f>SUMIFS('16.2-илова'!$K:$K,'16.2-илова'!$O:$O,$H:$H,'16.2-илова'!$G:$G,$B:$B)</f>
        <v>0</v>
      </c>
      <c r="G110" s="31">
        <f>SUMIFS('16.2-илова'!$L:$L,'16.2-илова'!$O:$O,$H:$H,'16.2-илова'!$G:$G,$B:$B)</f>
        <v>0</v>
      </c>
      <c r="H110" s="71">
        <v>520</v>
      </c>
    </row>
    <row r="111" spans="1:8" ht="37.5" hidden="1" x14ac:dyDescent="0.25">
      <c r="A111" s="8" t="e">
        <f t="shared" si="7"/>
        <v>#REF!</v>
      </c>
      <c r="B111" s="13" t="s">
        <v>60</v>
      </c>
      <c r="C111" s="6">
        <f>SUMIFS('16.2-илова'!$N:$N,'16.2-илова'!$O:$O,$H:$H,'16.2-илова'!$G:$G,$B:$B)</f>
        <v>0</v>
      </c>
      <c r="D111" s="9"/>
      <c r="E111" s="9"/>
      <c r="F111" s="74">
        <f>SUMIFS('16.2-илова'!$K:$K,'16.2-илова'!$O:$O,$H:$H,'16.2-илова'!$G:$G,$B:$B)</f>
        <v>0</v>
      </c>
      <c r="G111" s="31">
        <f>SUMIFS('16.2-илова'!$L:$L,'16.2-илова'!$O:$O,$H:$H,'16.2-илова'!$G:$G,$B:$B)</f>
        <v>0</v>
      </c>
      <c r="H111" s="71">
        <v>520</v>
      </c>
    </row>
    <row r="112" spans="1:8" ht="37.5" hidden="1" x14ac:dyDescent="0.25">
      <c r="A112" s="8" t="e">
        <f>1+#REF!</f>
        <v>#REF!</v>
      </c>
      <c r="B112" s="13" t="s">
        <v>61</v>
      </c>
      <c r="C112" s="6">
        <f>SUMIFS('16.2-илова'!$N:$N,'16.2-илова'!$O:$O,$H:$H,'16.2-илова'!$G:$G,$B:$B)</f>
        <v>0</v>
      </c>
      <c r="D112" s="9"/>
      <c r="E112" s="9"/>
      <c r="F112" s="74">
        <f>SUMIFS('16.2-илова'!$K:$K,'16.2-илова'!$O:$O,$H:$H,'16.2-илова'!$G:$G,$B:$B)</f>
        <v>0</v>
      </c>
      <c r="G112" s="31">
        <f>SUMIFS('16.2-илова'!$L:$L,'16.2-илова'!$O:$O,$H:$H,'16.2-илова'!$G:$G,$B:$B)</f>
        <v>0</v>
      </c>
      <c r="H112" s="71">
        <v>520</v>
      </c>
    </row>
    <row r="113" spans="1:8" ht="37.5" hidden="1" x14ac:dyDescent="0.25">
      <c r="A113" s="8" t="e">
        <f t="shared" si="7"/>
        <v>#REF!</v>
      </c>
      <c r="B113" s="13" t="s">
        <v>62</v>
      </c>
      <c r="C113" s="6">
        <f>SUMIFS('16.2-илова'!$N:$N,'16.2-илова'!$O:$O,$H:$H,'16.2-илова'!$G:$G,$B:$B)</f>
        <v>0</v>
      </c>
      <c r="D113" s="9"/>
      <c r="E113" s="9"/>
      <c r="F113" s="74">
        <f>SUMIFS('16.2-илова'!$K:$K,'16.2-илова'!$O:$O,$H:$H,'16.2-илова'!$G:$G,$B:$B)</f>
        <v>0</v>
      </c>
      <c r="G113" s="31">
        <f>SUMIFS('16.2-илова'!$L:$L,'16.2-илова'!$O:$O,$H:$H,'16.2-илова'!$G:$G,$B:$B)</f>
        <v>0</v>
      </c>
      <c r="H113" s="71">
        <v>520</v>
      </c>
    </row>
    <row r="114" spans="1:8" ht="37.5" hidden="1" x14ac:dyDescent="0.25">
      <c r="A114" s="8">
        <v>1</v>
      </c>
      <c r="B114" s="13" t="s">
        <v>56</v>
      </c>
      <c r="C114" s="6">
        <f>SUMIFS('16.2-илова'!$N:$N,'16.2-илова'!$O:$O,$H:$H,'16.2-илова'!$G:$G,$B:$B)</f>
        <v>0</v>
      </c>
      <c r="D114" s="9"/>
      <c r="E114" s="9"/>
      <c r="F114" s="74">
        <f>SUMIFS('16.2-илова'!$K:$K,'16.2-илова'!$O:$O,$H:$H,'16.2-илова'!$G:$G,$B:$B)</f>
        <v>0</v>
      </c>
      <c r="G114" s="30">
        <f>SUMIFS('16.2-илова'!$L:$L,'16.2-илова'!$O:$O,$H:$H,'16.2-илова'!$G:$G,$B:$B)</f>
        <v>0</v>
      </c>
      <c r="H114" s="71">
        <v>521</v>
      </c>
    </row>
    <row r="115" spans="1:8" ht="37.5" hidden="1" x14ac:dyDescent="0.25">
      <c r="A115" s="8">
        <f>1+A114</f>
        <v>2</v>
      </c>
      <c r="B115" s="13" t="s">
        <v>53</v>
      </c>
      <c r="C115" s="6">
        <f>SUMIFS('16.2-илова'!$N:$N,'16.2-илова'!$O:$O,$H:$H,'16.2-илова'!$G:$G,$B:$B)</f>
        <v>0</v>
      </c>
      <c r="D115" s="9"/>
      <c r="E115" s="9"/>
      <c r="F115" s="74">
        <f>SUMIFS('16.2-илова'!$K:$K,'16.2-илова'!$O:$O,$H:$H,'16.2-илова'!$G:$G,$B:$B)</f>
        <v>0</v>
      </c>
      <c r="G115" s="31">
        <f>SUMIFS('16.2-илова'!$L:$L,'16.2-илова'!$O:$O,$H:$H,'16.2-илова'!$G:$G,$B:$B)</f>
        <v>0</v>
      </c>
      <c r="H115" s="71">
        <v>521</v>
      </c>
    </row>
    <row r="116" spans="1:8" ht="18.75" hidden="1" x14ac:dyDescent="0.25">
      <c r="A116" s="8" t="e">
        <f>1+#REF!</f>
        <v>#REF!</v>
      </c>
      <c r="B116" s="13" t="s">
        <v>59</v>
      </c>
      <c r="C116" s="6">
        <f>SUMIFS('16.2-илова'!$N:$N,'16.2-илова'!$O:$O,$H:$H,'16.2-илова'!$G:$G,$B:$B)</f>
        <v>0</v>
      </c>
      <c r="D116" s="9"/>
      <c r="E116" s="9"/>
      <c r="F116" s="74">
        <f>SUMIFS('16.2-илова'!$K:$K,'16.2-илова'!$O:$O,$H:$H,'16.2-илова'!$G:$G,$B:$B)</f>
        <v>0</v>
      </c>
      <c r="G116" s="31">
        <f>SUMIFS('16.2-илова'!$L:$L,'16.2-илова'!$O:$O,$H:$H,'16.2-илова'!$G:$G,$B:$B)</f>
        <v>0</v>
      </c>
      <c r="H116" s="71">
        <v>521</v>
      </c>
    </row>
    <row r="117" spans="1:8" ht="37.5" hidden="1" x14ac:dyDescent="0.25">
      <c r="A117" s="8" t="e">
        <f>1+A116</f>
        <v>#REF!</v>
      </c>
      <c r="B117" s="13" t="s">
        <v>60</v>
      </c>
      <c r="C117" s="6">
        <f>SUMIFS('16.2-илова'!$N:$N,'16.2-илова'!$O:$O,$H:$H,'16.2-илова'!$G:$G,$B:$B)</f>
        <v>0</v>
      </c>
      <c r="D117" s="9"/>
      <c r="E117" s="9"/>
      <c r="F117" s="74">
        <f>SUMIFS('16.2-илова'!$K:$K,'16.2-илова'!$O:$O,$H:$H,'16.2-илова'!$G:$G,$B:$B)</f>
        <v>0</v>
      </c>
      <c r="G117" s="31">
        <f>SUMIFS('16.2-илова'!$L:$L,'16.2-илова'!$O:$O,$H:$H,'16.2-илова'!$G:$G,$B:$B)</f>
        <v>0</v>
      </c>
      <c r="H117" s="71">
        <v>521</v>
      </c>
    </row>
    <row r="118" spans="1:8" ht="37.5" hidden="1" x14ac:dyDescent="0.25">
      <c r="A118" s="8" t="e">
        <f>1+#REF!</f>
        <v>#REF!</v>
      </c>
      <c r="B118" s="13" t="s">
        <v>61</v>
      </c>
      <c r="C118" s="6">
        <f>SUMIFS('16.2-илова'!$N:$N,'16.2-илова'!$O:$O,$H:$H,'16.2-илова'!$G:$G,$B:$B)</f>
        <v>0</v>
      </c>
      <c r="D118" s="9"/>
      <c r="E118" s="9"/>
      <c r="F118" s="74">
        <f>SUMIFS('16.2-илова'!$K:$K,'16.2-илова'!$O:$O,$H:$H,'16.2-илова'!$G:$G,$B:$B)</f>
        <v>0</v>
      </c>
      <c r="G118" s="31">
        <f>SUMIFS('16.2-илова'!$L:$L,'16.2-илова'!$O:$O,$H:$H,'16.2-илова'!$G:$G,$B:$B)</f>
        <v>0</v>
      </c>
      <c r="H118" s="71">
        <v>521</v>
      </c>
    </row>
    <row r="119" spans="1:8" ht="37.5" hidden="1" x14ac:dyDescent="0.25">
      <c r="A119" s="8" t="e">
        <f>1+A118</f>
        <v>#REF!</v>
      </c>
      <c r="B119" s="13" t="s">
        <v>62</v>
      </c>
      <c r="C119" s="6">
        <f>SUMIFS('16.2-илова'!$N:$N,'16.2-илова'!$O:$O,$H:$H,'16.2-илова'!$G:$G,$B:$B)</f>
        <v>0</v>
      </c>
      <c r="D119" s="9"/>
      <c r="E119" s="9"/>
      <c r="F119" s="74">
        <f>SUMIFS('16.2-илова'!$K:$K,'16.2-илова'!$O:$O,$H:$H,'16.2-илова'!$G:$G,$B:$B)</f>
        <v>0</v>
      </c>
      <c r="G119" s="31">
        <f>SUMIFS('16.2-илова'!$L:$L,'16.2-илова'!$O:$O,$H:$H,'16.2-илова'!$G:$G,$B:$B)</f>
        <v>0</v>
      </c>
      <c r="H119" s="71">
        <v>521</v>
      </c>
    </row>
    <row r="124" spans="1:8" x14ac:dyDescent="0.25">
      <c r="F124" s="47"/>
    </row>
  </sheetData>
  <autoFilter ref="A4:H119">
    <filterColumn colId="2">
      <filters blank="1">
        <filter val="1"/>
        <filter val="10"/>
        <filter val="11"/>
        <filter val="14"/>
        <filter val="15"/>
        <filter val="16"/>
        <filter val="160"/>
        <filter val="17"/>
        <filter val="2"/>
        <filter val="20"/>
        <filter val="22"/>
        <filter val="24"/>
        <filter val="26"/>
        <filter val="29"/>
        <filter val="3"/>
        <filter val="31"/>
        <filter val="311"/>
        <filter val="33"/>
        <filter val="35"/>
        <filter val="37"/>
        <filter val="4"/>
        <filter val="5"/>
        <filter val="50"/>
        <filter val="6"/>
        <filter val="7"/>
        <filter val="8"/>
        <filter val="9"/>
      </filters>
    </filterColumn>
    <filterColumn colId="3" showButton="0"/>
    <filterColumn colId="4" showButton="0"/>
    <filterColumn colId="5" showButton="0"/>
  </autoFilter>
  <mergeCells count="7">
    <mergeCell ref="A1:G1"/>
    <mergeCell ref="A2:G2"/>
    <mergeCell ref="A3:G3"/>
    <mergeCell ref="D4:G4"/>
    <mergeCell ref="A4:A5"/>
    <mergeCell ref="B4:B5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85" zoomScaleNormal="8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I32" sqref="I32"/>
    </sheetView>
  </sheetViews>
  <sheetFormatPr defaultRowHeight="15" outlineLevelRow="1" x14ac:dyDescent="0.25"/>
  <cols>
    <col min="1" max="1" width="9.140625" style="2"/>
    <col min="2" max="2" width="21.28515625" style="2" customWidth="1"/>
    <col min="3" max="3" width="14.7109375" style="2" customWidth="1"/>
    <col min="4" max="4" width="11.85546875" style="2" customWidth="1"/>
    <col min="5" max="6" width="11.5703125" style="2" customWidth="1"/>
    <col min="7" max="7" width="36.42578125" style="27" customWidth="1"/>
    <col min="8" max="8" width="30" style="2" customWidth="1"/>
    <col min="9" max="9" width="20.85546875" style="28" customWidth="1"/>
    <col min="10" max="10" width="18.140625" style="28" customWidth="1"/>
    <col min="11" max="11" width="16.42578125" style="28" customWidth="1"/>
    <col min="12" max="12" width="20.42578125" style="28" customWidth="1"/>
    <col min="13" max="13" width="16.42578125" style="28" customWidth="1"/>
    <col min="14" max="15" width="9.140625" style="2" hidden="1" customWidth="1"/>
    <col min="16" max="16" width="0" style="2" hidden="1" customWidth="1"/>
    <col min="17" max="17" width="9.140625" style="2"/>
    <col min="18" max="18" width="9.140625" style="2" customWidth="1"/>
    <col min="19" max="16384" width="9.140625" style="2"/>
  </cols>
  <sheetData>
    <row r="1" spans="1:15" ht="112.5" customHeight="1" x14ac:dyDescent="0.25">
      <c r="A1" s="120" t="s">
        <v>139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5" ht="21" thickBo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5" ht="39" customHeight="1" x14ac:dyDescent="0.25">
      <c r="A3" s="121" t="s">
        <v>0</v>
      </c>
      <c r="B3" s="123" t="s">
        <v>30</v>
      </c>
      <c r="C3" s="123" t="s">
        <v>64</v>
      </c>
      <c r="D3" s="123" t="s">
        <v>31</v>
      </c>
      <c r="E3" s="123"/>
      <c r="F3" s="123"/>
      <c r="G3" s="123" t="s">
        <v>32</v>
      </c>
      <c r="H3" s="123" t="s">
        <v>47</v>
      </c>
      <c r="I3" s="123"/>
      <c r="J3" s="123"/>
      <c r="K3" s="123"/>
      <c r="L3" s="123"/>
      <c r="M3" s="125"/>
    </row>
    <row r="4" spans="1:15" ht="107.25" customHeight="1" thickBot="1" x14ac:dyDescent="0.3">
      <c r="A4" s="122"/>
      <c r="B4" s="124"/>
      <c r="C4" s="124"/>
      <c r="D4" s="21" t="s">
        <v>33</v>
      </c>
      <c r="E4" s="21" t="s">
        <v>34</v>
      </c>
      <c r="F4" s="21" t="s">
        <v>35</v>
      </c>
      <c r="G4" s="124"/>
      <c r="H4" s="21" t="s">
        <v>36</v>
      </c>
      <c r="I4" s="21" t="s">
        <v>37</v>
      </c>
      <c r="J4" s="21" t="s">
        <v>65</v>
      </c>
      <c r="K4" s="21" t="s">
        <v>38</v>
      </c>
      <c r="L4" s="21" t="s">
        <v>39</v>
      </c>
      <c r="M4" s="22" t="s">
        <v>40</v>
      </c>
    </row>
    <row r="5" spans="1:15" ht="45" outlineLevel="1" x14ac:dyDescent="0.25">
      <c r="A5" s="24">
        <v>1</v>
      </c>
      <c r="B5" s="29" t="s">
        <v>71</v>
      </c>
      <c r="C5" s="76">
        <f t="shared" ref="C5:C10" si="0">+SUM(D5:F5)</f>
        <v>4946</v>
      </c>
      <c r="D5" s="77"/>
      <c r="E5" s="77"/>
      <c r="F5" s="77">
        <v>4946</v>
      </c>
      <c r="G5" s="25" t="s">
        <v>49</v>
      </c>
      <c r="H5" s="20" t="s">
        <v>93</v>
      </c>
      <c r="I5" s="26">
        <v>750</v>
      </c>
      <c r="J5" s="26">
        <v>741.6</v>
      </c>
      <c r="K5" s="26">
        <v>750</v>
      </c>
      <c r="L5" s="26">
        <v>741.6</v>
      </c>
      <c r="M5" s="23">
        <f t="shared" ref="M5:M9" si="1">+K5-L5</f>
        <v>8.3999999999999773</v>
      </c>
      <c r="N5" s="2">
        <v>1</v>
      </c>
      <c r="O5" s="2">
        <v>513</v>
      </c>
    </row>
    <row r="6" spans="1:15" ht="45" outlineLevel="1" x14ac:dyDescent="0.25">
      <c r="A6" s="24">
        <v>2</v>
      </c>
      <c r="B6" s="29" t="s">
        <v>72</v>
      </c>
      <c r="C6" s="76">
        <f t="shared" si="0"/>
        <v>4203</v>
      </c>
      <c r="D6" s="77"/>
      <c r="E6" s="77"/>
      <c r="F6" s="77">
        <v>4203</v>
      </c>
      <c r="G6" s="25" t="s">
        <v>49</v>
      </c>
      <c r="H6" s="20" t="s">
        <v>94</v>
      </c>
      <c r="I6" s="26">
        <v>720</v>
      </c>
      <c r="J6" s="26">
        <v>681.5</v>
      </c>
      <c r="K6" s="26">
        <v>720</v>
      </c>
      <c r="L6" s="26">
        <v>680.8</v>
      </c>
      <c r="M6" s="23">
        <f t="shared" si="1"/>
        <v>39.200000000000045</v>
      </c>
      <c r="N6" s="2">
        <v>1</v>
      </c>
      <c r="O6" s="2">
        <v>513</v>
      </c>
    </row>
    <row r="7" spans="1:15" ht="45" outlineLevel="1" x14ac:dyDescent="0.25">
      <c r="A7" s="24">
        <v>3</v>
      </c>
      <c r="B7" s="29" t="s">
        <v>73</v>
      </c>
      <c r="C7" s="76">
        <f t="shared" si="0"/>
        <v>4187</v>
      </c>
      <c r="D7" s="77"/>
      <c r="E7" s="77"/>
      <c r="F7" s="77">
        <v>4187</v>
      </c>
      <c r="G7" s="25" t="s">
        <v>49</v>
      </c>
      <c r="H7" s="20" t="s">
        <v>95</v>
      </c>
      <c r="I7" s="26">
        <v>900</v>
      </c>
      <c r="J7" s="26">
        <v>850.4</v>
      </c>
      <c r="K7" s="26">
        <v>900</v>
      </c>
      <c r="L7" s="26">
        <v>850.4</v>
      </c>
      <c r="M7" s="23">
        <f t="shared" si="1"/>
        <v>49.600000000000023</v>
      </c>
      <c r="N7" s="2">
        <v>1</v>
      </c>
      <c r="O7" s="2">
        <v>513</v>
      </c>
    </row>
    <row r="8" spans="1:15" ht="45" outlineLevel="1" x14ac:dyDescent="0.25">
      <c r="A8" s="24">
        <v>4</v>
      </c>
      <c r="B8" s="29" t="s">
        <v>74</v>
      </c>
      <c r="C8" s="76">
        <f t="shared" si="0"/>
        <v>4089</v>
      </c>
      <c r="D8" s="77"/>
      <c r="E8" s="77"/>
      <c r="F8" s="77">
        <v>4089</v>
      </c>
      <c r="G8" s="25" t="s">
        <v>49</v>
      </c>
      <c r="H8" s="20" t="s">
        <v>96</v>
      </c>
      <c r="I8" s="26">
        <v>915</v>
      </c>
      <c r="J8" s="26">
        <v>908.3</v>
      </c>
      <c r="K8" s="26">
        <v>915</v>
      </c>
      <c r="L8" s="26">
        <v>890</v>
      </c>
      <c r="M8" s="23">
        <f t="shared" si="1"/>
        <v>25</v>
      </c>
      <c r="N8" s="2">
        <v>1</v>
      </c>
      <c r="O8" s="2">
        <v>513</v>
      </c>
    </row>
    <row r="9" spans="1:15" ht="45" outlineLevel="1" x14ac:dyDescent="0.25">
      <c r="A9" s="24">
        <v>5</v>
      </c>
      <c r="B9" s="29" t="s">
        <v>75</v>
      </c>
      <c r="C9" s="76">
        <f t="shared" si="0"/>
        <v>3365</v>
      </c>
      <c r="D9" s="77"/>
      <c r="E9" s="77"/>
      <c r="F9" s="77">
        <v>3365</v>
      </c>
      <c r="G9" s="25" t="s">
        <v>49</v>
      </c>
      <c r="H9" s="20" t="s">
        <v>97</v>
      </c>
      <c r="I9" s="26">
        <v>750</v>
      </c>
      <c r="J9" s="26">
        <v>663.8</v>
      </c>
      <c r="K9" s="26">
        <v>750</v>
      </c>
      <c r="L9" s="26">
        <v>584.4</v>
      </c>
      <c r="M9" s="23">
        <f t="shared" si="1"/>
        <v>165.60000000000002</v>
      </c>
      <c r="N9" s="2">
        <v>1</v>
      </c>
      <c r="O9" s="2">
        <v>513</v>
      </c>
    </row>
    <row r="10" spans="1:15" ht="45" outlineLevel="1" x14ac:dyDescent="0.25">
      <c r="A10" s="24">
        <v>6</v>
      </c>
      <c r="B10" s="29" t="s">
        <v>76</v>
      </c>
      <c r="C10" s="76">
        <f t="shared" si="0"/>
        <v>2886</v>
      </c>
      <c r="D10" s="77"/>
      <c r="E10" s="77"/>
      <c r="F10" s="77">
        <v>2886</v>
      </c>
      <c r="G10" s="25" t="s">
        <v>116</v>
      </c>
      <c r="H10" s="20" t="s">
        <v>98</v>
      </c>
      <c r="I10" s="26">
        <v>400</v>
      </c>
      <c r="J10" s="26">
        <v>376.5</v>
      </c>
      <c r="K10" s="26">
        <v>400</v>
      </c>
      <c r="L10" s="26">
        <v>376.5</v>
      </c>
      <c r="M10" s="23">
        <f>+K10-L10</f>
        <v>23.5</v>
      </c>
      <c r="N10" s="2">
        <v>1</v>
      </c>
      <c r="O10" s="2">
        <v>513</v>
      </c>
    </row>
    <row r="11" spans="1:15" ht="45" outlineLevel="1" x14ac:dyDescent="0.25">
      <c r="A11" s="24">
        <v>7</v>
      </c>
      <c r="B11" s="29" t="s">
        <v>77</v>
      </c>
      <c r="C11" s="76">
        <f t="shared" ref="C11:C33" si="2">+SUM(D11:F11)</f>
        <v>2806</v>
      </c>
      <c r="D11" s="77"/>
      <c r="E11" s="77"/>
      <c r="F11" s="77">
        <v>2806</v>
      </c>
      <c r="G11" s="25" t="s">
        <v>49</v>
      </c>
      <c r="H11" s="20" t="s">
        <v>99</v>
      </c>
      <c r="I11" s="26">
        <v>785.8</v>
      </c>
      <c r="J11" s="26">
        <v>778.4</v>
      </c>
      <c r="K11" s="26">
        <v>785.8</v>
      </c>
      <c r="L11" s="26">
        <v>778.4</v>
      </c>
      <c r="M11" s="23">
        <f t="shared" ref="M11:M32" si="3">+K11-L11</f>
        <v>7.3999999999999773</v>
      </c>
      <c r="N11" s="2">
        <v>1</v>
      </c>
      <c r="O11" s="2">
        <v>513</v>
      </c>
    </row>
    <row r="12" spans="1:15" ht="45" outlineLevel="1" x14ac:dyDescent="0.25">
      <c r="A12" s="24">
        <v>8</v>
      </c>
      <c r="B12" s="29" t="s">
        <v>78</v>
      </c>
      <c r="C12" s="76">
        <f t="shared" si="2"/>
        <v>2764</v>
      </c>
      <c r="D12" s="77"/>
      <c r="E12" s="77"/>
      <c r="F12" s="77">
        <v>2764</v>
      </c>
      <c r="G12" s="25" t="s">
        <v>51</v>
      </c>
      <c r="H12" s="20" t="s">
        <v>100</v>
      </c>
      <c r="I12" s="26">
        <v>600</v>
      </c>
      <c r="J12" s="26">
        <v>566.6</v>
      </c>
      <c r="K12" s="26">
        <v>600</v>
      </c>
      <c r="L12" s="26">
        <v>566.6</v>
      </c>
      <c r="M12" s="23">
        <f t="shared" si="3"/>
        <v>33.399999999999977</v>
      </c>
      <c r="N12" s="2">
        <v>1</v>
      </c>
      <c r="O12" s="2">
        <v>513</v>
      </c>
    </row>
    <row r="13" spans="1:15" ht="45" customHeight="1" outlineLevel="1" x14ac:dyDescent="0.25">
      <c r="A13" s="94">
        <v>9</v>
      </c>
      <c r="B13" s="95" t="s">
        <v>79</v>
      </c>
      <c r="C13" s="96">
        <f t="shared" si="2"/>
        <v>2746</v>
      </c>
      <c r="D13" s="97"/>
      <c r="E13" s="97"/>
      <c r="F13" s="97">
        <v>2746</v>
      </c>
      <c r="G13" s="98" t="s">
        <v>49</v>
      </c>
      <c r="H13" s="20" t="s">
        <v>101</v>
      </c>
      <c r="I13" s="99">
        <f>190+760</f>
        <v>950</v>
      </c>
      <c r="J13" s="26">
        <f>190+758.9</f>
        <v>948.9</v>
      </c>
      <c r="K13" s="26">
        <v>950</v>
      </c>
      <c r="L13" s="26">
        <f>190+669.2</f>
        <v>859.2</v>
      </c>
      <c r="M13" s="23">
        <f t="shared" si="3"/>
        <v>90.799999999999955</v>
      </c>
      <c r="N13" s="2">
        <v>1</v>
      </c>
      <c r="O13" s="2">
        <v>513</v>
      </c>
    </row>
    <row r="14" spans="1:15" ht="45" outlineLevel="1" x14ac:dyDescent="0.25">
      <c r="A14" s="24">
        <v>10</v>
      </c>
      <c r="B14" s="29" t="s">
        <v>80</v>
      </c>
      <c r="C14" s="76">
        <f t="shared" si="2"/>
        <v>2543</v>
      </c>
      <c r="D14" s="77"/>
      <c r="E14" s="77"/>
      <c r="F14" s="77">
        <v>2543</v>
      </c>
      <c r="G14" s="25" t="s">
        <v>51</v>
      </c>
      <c r="H14" s="20" t="s">
        <v>102</v>
      </c>
      <c r="I14" s="26">
        <v>950</v>
      </c>
      <c r="J14" s="26">
        <v>936.3</v>
      </c>
      <c r="K14" s="26">
        <v>950</v>
      </c>
      <c r="L14" s="26">
        <v>936.3</v>
      </c>
      <c r="M14" s="23">
        <f t="shared" si="3"/>
        <v>13.700000000000045</v>
      </c>
      <c r="N14" s="2">
        <v>1</v>
      </c>
      <c r="O14" s="2">
        <v>513</v>
      </c>
    </row>
    <row r="15" spans="1:15" ht="45" outlineLevel="1" x14ac:dyDescent="0.25">
      <c r="A15" s="24">
        <v>11</v>
      </c>
      <c r="B15" s="29" t="s">
        <v>81</v>
      </c>
      <c r="C15" s="76">
        <f t="shared" si="2"/>
        <v>2513</v>
      </c>
      <c r="D15" s="77"/>
      <c r="E15" s="77"/>
      <c r="F15" s="77">
        <v>2513</v>
      </c>
      <c r="G15" s="25" t="s">
        <v>51</v>
      </c>
      <c r="H15" s="20" t="s">
        <v>103</v>
      </c>
      <c r="I15" s="26">
        <v>300</v>
      </c>
      <c r="J15" s="26">
        <v>300</v>
      </c>
      <c r="K15" s="26">
        <v>300</v>
      </c>
      <c r="L15" s="26">
        <v>300</v>
      </c>
      <c r="M15" s="23">
        <f t="shared" si="3"/>
        <v>0</v>
      </c>
      <c r="N15" s="2">
        <v>1</v>
      </c>
      <c r="O15" s="2">
        <v>513</v>
      </c>
    </row>
    <row r="16" spans="1:15" ht="45" outlineLevel="1" x14ac:dyDescent="0.25">
      <c r="A16" s="24">
        <v>12</v>
      </c>
      <c r="B16" s="29" t="s">
        <v>82</v>
      </c>
      <c r="C16" s="76">
        <f t="shared" si="2"/>
        <v>2507</v>
      </c>
      <c r="D16" s="77"/>
      <c r="E16" s="77"/>
      <c r="F16" s="77">
        <v>2507</v>
      </c>
      <c r="G16" s="25" t="s">
        <v>49</v>
      </c>
      <c r="H16" s="20" t="s">
        <v>104</v>
      </c>
      <c r="I16" s="26">
        <v>732</v>
      </c>
      <c r="J16" s="26">
        <v>721.3</v>
      </c>
      <c r="K16" s="26">
        <v>732</v>
      </c>
      <c r="L16" s="26">
        <v>721.3</v>
      </c>
      <c r="M16" s="23">
        <f t="shared" si="3"/>
        <v>10.700000000000045</v>
      </c>
      <c r="N16" s="2">
        <v>1</v>
      </c>
      <c r="O16" s="2">
        <v>513</v>
      </c>
    </row>
    <row r="17" spans="1:16" ht="45" outlineLevel="1" x14ac:dyDescent="0.25">
      <c r="A17" s="24">
        <v>13</v>
      </c>
      <c r="B17" s="29" t="s">
        <v>83</v>
      </c>
      <c r="C17" s="76">
        <f t="shared" si="2"/>
        <v>2429</v>
      </c>
      <c r="D17" s="77"/>
      <c r="E17" s="77"/>
      <c r="F17" s="77">
        <v>2429</v>
      </c>
      <c r="G17" s="25" t="s">
        <v>49</v>
      </c>
      <c r="H17" s="20" t="s">
        <v>105</v>
      </c>
      <c r="I17" s="26">
        <v>510</v>
      </c>
      <c r="J17" s="26">
        <v>365.5</v>
      </c>
      <c r="K17" s="26">
        <v>510</v>
      </c>
      <c r="L17" s="26">
        <v>365.5</v>
      </c>
      <c r="M17" s="23">
        <f t="shared" si="3"/>
        <v>144.5</v>
      </c>
      <c r="N17" s="2">
        <v>1</v>
      </c>
      <c r="O17" s="2">
        <v>513</v>
      </c>
    </row>
    <row r="18" spans="1:16" ht="45" outlineLevel="1" x14ac:dyDescent="0.25">
      <c r="A18" s="24">
        <v>14</v>
      </c>
      <c r="B18" s="29" t="s">
        <v>84</v>
      </c>
      <c r="C18" s="76">
        <f t="shared" si="2"/>
        <v>2393</v>
      </c>
      <c r="D18" s="77"/>
      <c r="E18" s="77"/>
      <c r="F18" s="77">
        <v>2393</v>
      </c>
      <c r="G18" s="25" t="s">
        <v>49</v>
      </c>
      <c r="H18" s="20" t="s">
        <v>106</v>
      </c>
      <c r="I18" s="26">
        <v>480</v>
      </c>
      <c r="J18" s="26">
        <v>457.5</v>
      </c>
      <c r="K18" s="26">
        <v>480</v>
      </c>
      <c r="L18" s="26">
        <v>457.5</v>
      </c>
      <c r="M18" s="23">
        <f t="shared" si="3"/>
        <v>22.5</v>
      </c>
      <c r="N18" s="2">
        <v>1</v>
      </c>
      <c r="O18" s="2">
        <v>513</v>
      </c>
    </row>
    <row r="19" spans="1:16" ht="45" outlineLevel="1" x14ac:dyDescent="0.25">
      <c r="A19" s="24">
        <v>15</v>
      </c>
      <c r="B19" s="29" t="s">
        <v>85</v>
      </c>
      <c r="C19" s="76">
        <f t="shared" si="2"/>
        <v>2330</v>
      </c>
      <c r="D19" s="77"/>
      <c r="E19" s="77"/>
      <c r="F19" s="77">
        <v>2330</v>
      </c>
      <c r="G19" s="25" t="s">
        <v>49</v>
      </c>
      <c r="H19" s="20" t="s">
        <v>107</v>
      </c>
      <c r="I19" s="26">
        <v>350</v>
      </c>
      <c r="J19" s="26">
        <v>341.3</v>
      </c>
      <c r="K19" s="26">
        <v>350</v>
      </c>
      <c r="L19" s="26">
        <v>341.3</v>
      </c>
      <c r="M19" s="23">
        <f t="shared" si="3"/>
        <v>8.6999999999999886</v>
      </c>
      <c r="N19" s="2">
        <v>1</v>
      </c>
      <c r="O19" s="2">
        <v>513</v>
      </c>
      <c r="P19" s="2" t="s">
        <v>115</v>
      </c>
    </row>
    <row r="20" spans="1:16" ht="30" outlineLevel="1" x14ac:dyDescent="0.25">
      <c r="A20" s="24">
        <v>16</v>
      </c>
      <c r="B20" s="29" t="s">
        <v>86</v>
      </c>
      <c r="C20" s="76">
        <f t="shared" si="2"/>
        <v>2305</v>
      </c>
      <c r="D20" s="77"/>
      <c r="E20" s="77"/>
      <c r="F20" s="77">
        <v>2305</v>
      </c>
      <c r="G20" s="25" t="s">
        <v>117</v>
      </c>
      <c r="H20" s="20" t="s">
        <v>108</v>
      </c>
      <c r="I20" s="26">
        <v>1050</v>
      </c>
      <c r="J20" s="26">
        <v>926.7</v>
      </c>
      <c r="K20" s="26">
        <v>1050</v>
      </c>
      <c r="L20" s="26">
        <v>926.7</v>
      </c>
      <c r="M20" s="23">
        <f t="shared" si="3"/>
        <v>123.29999999999995</v>
      </c>
      <c r="N20" s="2">
        <v>1</v>
      </c>
      <c r="O20" s="2">
        <v>513</v>
      </c>
    </row>
    <row r="21" spans="1:16" ht="45" outlineLevel="1" x14ac:dyDescent="0.25">
      <c r="A21" s="24">
        <v>17</v>
      </c>
      <c r="B21" s="29" t="s">
        <v>87</v>
      </c>
      <c r="C21" s="76">
        <f t="shared" si="2"/>
        <v>2208</v>
      </c>
      <c r="D21" s="77"/>
      <c r="E21" s="77"/>
      <c r="F21" s="77">
        <v>2208</v>
      </c>
      <c r="G21" s="25" t="s">
        <v>49</v>
      </c>
      <c r="H21" s="20" t="s">
        <v>109</v>
      </c>
      <c r="I21" s="26">
        <v>885.5</v>
      </c>
      <c r="J21" s="26">
        <v>868.1</v>
      </c>
      <c r="K21" s="26">
        <v>885.5</v>
      </c>
      <c r="L21" s="26">
        <v>868.1</v>
      </c>
      <c r="M21" s="23">
        <f t="shared" si="3"/>
        <v>17.399999999999977</v>
      </c>
      <c r="N21" s="2">
        <v>1</v>
      </c>
      <c r="O21" s="2">
        <v>513</v>
      </c>
    </row>
    <row r="22" spans="1:16" ht="45" outlineLevel="1" x14ac:dyDescent="0.25">
      <c r="A22" s="24">
        <v>18</v>
      </c>
      <c r="B22" s="29" t="s">
        <v>88</v>
      </c>
      <c r="C22" s="76">
        <f t="shared" si="2"/>
        <v>2204</v>
      </c>
      <c r="D22" s="77"/>
      <c r="E22" s="77"/>
      <c r="F22" s="77">
        <v>2204</v>
      </c>
      <c r="G22" s="25" t="s">
        <v>49</v>
      </c>
      <c r="H22" s="20" t="s">
        <v>110</v>
      </c>
      <c r="I22" s="26">
        <f>450+300</f>
        <v>750</v>
      </c>
      <c r="J22" s="26">
        <f>425+197.2</f>
        <v>622.20000000000005</v>
      </c>
      <c r="K22" s="26">
        <v>750</v>
      </c>
      <c r="L22" s="26">
        <f>425+188.9</f>
        <v>613.9</v>
      </c>
      <c r="M22" s="23">
        <f t="shared" si="3"/>
        <v>136.10000000000002</v>
      </c>
      <c r="N22" s="2">
        <v>1</v>
      </c>
      <c r="O22" s="2">
        <v>513</v>
      </c>
    </row>
    <row r="23" spans="1:16" ht="45" outlineLevel="1" x14ac:dyDescent="0.25">
      <c r="A23" s="24">
        <v>19</v>
      </c>
      <c r="B23" s="29" t="s">
        <v>89</v>
      </c>
      <c r="C23" s="76">
        <f t="shared" si="2"/>
        <v>2104</v>
      </c>
      <c r="D23" s="77"/>
      <c r="E23" s="77"/>
      <c r="F23" s="77">
        <v>2104</v>
      </c>
      <c r="G23" s="25" t="s">
        <v>49</v>
      </c>
      <c r="H23" s="20" t="s">
        <v>111</v>
      </c>
      <c r="I23" s="26">
        <v>300</v>
      </c>
      <c r="J23" s="26">
        <v>275.5</v>
      </c>
      <c r="K23" s="26">
        <v>300</v>
      </c>
      <c r="L23" s="26">
        <v>275.5</v>
      </c>
      <c r="M23" s="23">
        <f t="shared" si="3"/>
        <v>24.5</v>
      </c>
      <c r="N23" s="2">
        <v>1</v>
      </c>
      <c r="O23" s="2">
        <v>513</v>
      </c>
    </row>
    <row r="24" spans="1:16" ht="45" outlineLevel="1" x14ac:dyDescent="0.25">
      <c r="A24" s="24">
        <v>20</v>
      </c>
      <c r="B24" s="29" t="s">
        <v>90</v>
      </c>
      <c r="C24" s="76">
        <f t="shared" si="2"/>
        <v>2051</v>
      </c>
      <c r="D24" s="77"/>
      <c r="E24" s="77"/>
      <c r="F24" s="77">
        <v>2051</v>
      </c>
      <c r="G24" s="25" t="s">
        <v>49</v>
      </c>
      <c r="H24" s="20" t="s">
        <v>112</v>
      </c>
      <c r="I24" s="26">
        <v>552.79999999999995</v>
      </c>
      <c r="J24" s="26">
        <v>547.20000000000005</v>
      </c>
      <c r="K24" s="26">
        <v>552.79999999999995</v>
      </c>
      <c r="L24" s="26">
        <v>547.20000000000005</v>
      </c>
      <c r="M24" s="23">
        <f t="shared" si="3"/>
        <v>5.5999999999999091</v>
      </c>
      <c r="N24" s="2">
        <v>1</v>
      </c>
      <c r="O24" s="2">
        <v>513</v>
      </c>
    </row>
    <row r="25" spans="1:16" ht="45" outlineLevel="1" x14ac:dyDescent="0.25">
      <c r="A25" s="24">
        <v>21</v>
      </c>
      <c r="B25" s="29" t="s">
        <v>91</v>
      </c>
      <c r="C25" s="76">
        <f t="shared" si="2"/>
        <v>2006</v>
      </c>
      <c r="D25" s="77"/>
      <c r="E25" s="77"/>
      <c r="F25" s="77">
        <v>2006</v>
      </c>
      <c r="G25" s="25" t="s">
        <v>49</v>
      </c>
      <c r="H25" s="20" t="s">
        <v>113</v>
      </c>
      <c r="I25" s="26">
        <v>680.5</v>
      </c>
      <c r="J25" s="26">
        <v>652.79999999999995</v>
      </c>
      <c r="K25" s="26">
        <v>680.5</v>
      </c>
      <c r="L25" s="26">
        <v>646</v>
      </c>
      <c r="M25" s="23">
        <f t="shared" si="3"/>
        <v>34.5</v>
      </c>
      <c r="N25" s="2">
        <v>1</v>
      </c>
      <c r="O25" s="2">
        <v>513</v>
      </c>
    </row>
    <row r="26" spans="1:16" ht="45" outlineLevel="1" x14ac:dyDescent="0.25">
      <c r="A26" s="24">
        <v>22</v>
      </c>
      <c r="B26" s="29" t="s">
        <v>92</v>
      </c>
      <c r="C26" s="76">
        <f t="shared" si="2"/>
        <v>2004</v>
      </c>
      <c r="D26" s="77"/>
      <c r="E26" s="77"/>
      <c r="F26" s="77">
        <v>2004</v>
      </c>
      <c r="G26" s="25" t="s">
        <v>49</v>
      </c>
      <c r="H26" s="20" t="s">
        <v>114</v>
      </c>
      <c r="I26" s="26">
        <v>750</v>
      </c>
      <c r="J26" s="26">
        <v>680.8</v>
      </c>
      <c r="K26" s="26">
        <v>750</v>
      </c>
      <c r="L26" s="26">
        <v>680.8</v>
      </c>
      <c r="M26" s="23">
        <f t="shared" si="3"/>
        <v>69.200000000000045</v>
      </c>
      <c r="N26" s="2">
        <v>1</v>
      </c>
      <c r="O26" s="2">
        <v>513</v>
      </c>
    </row>
    <row r="27" spans="1:16" ht="30" outlineLevel="1" x14ac:dyDescent="0.25">
      <c r="A27" s="87">
        <f>+A26+1</f>
        <v>23</v>
      </c>
      <c r="B27" s="88" t="s">
        <v>121</v>
      </c>
      <c r="C27" s="76">
        <f t="shared" si="2"/>
        <v>4159</v>
      </c>
      <c r="D27" s="90"/>
      <c r="E27" s="90"/>
      <c r="F27" s="89">
        <v>4159</v>
      </c>
      <c r="G27" s="25" t="s">
        <v>117</v>
      </c>
      <c r="H27" s="91" t="s">
        <v>128</v>
      </c>
      <c r="I27" s="92">
        <v>1320</v>
      </c>
      <c r="J27" s="92">
        <v>1246.5999999999999</v>
      </c>
      <c r="K27" s="92">
        <v>1320</v>
      </c>
      <c r="L27" s="92">
        <v>1246.5999999999999</v>
      </c>
      <c r="M27" s="23">
        <f t="shared" si="3"/>
        <v>73.400000000000091</v>
      </c>
    </row>
    <row r="28" spans="1:16" ht="45" outlineLevel="1" x14ac:dyDescent="0.25">
      <c r="A28" s="87">
        <f t="shared" ref="A28:A32" si="4">+A27+1</f>
        <v>24</v>
      </c>
      <c r="B28" s="88" t="s">
        <v>122</v>
      </c>
      <c r="C28" s="76">
        <f t="shared" si="2"/>
        <v>3827</v>
      </c>
      <c r="D28" s="90"/>
      <c r="E28" s="90"/>
      <c r="F28" s="89">
        <v>3827</v>
      </c>
      <c r="G28" s="25" t="s">
        <v>49</v>
      </c>
      <c r="H28" s="91" t="s">
        <v>129</v>
      </c>
      <c r="I28" s="92">
        <v>800</v>
      </c>
      <c r="J28" s="92">
        <v>25.9</v>
      </c>
      <c r="K28" s="92">
        <v>800</v>
      </c>
      <c r="L28" s="92">
        <v>25.9</v>
      </c>
      <c r="M28" s="23">
        <f t="shared" si="3"/>
        <v>774.1</v>
      </c>
    </row>
    <row r="29" spans="1:16" ht="45" outlineLevel="1" x14ac:dyDescent="0.25">
      <c r="A29" s="87">
        <f t="shared" si="4"/>
        <v>25</v>
      </c>
      <c r="B29" s="88" t="s">
        <v>123</v>
      </c>
      <c r="C29" s="76">
        <f t="shared" si="2"/>
        <v>3748</v>
      </c>
      <c r="D29" s="90"/>
      <c r="E29" s="90"/>
      <c r="F29" s="89">
        <v>3748</v>
      </c>
      <c r="G29" s="25" t="s">
        <v>49</v>
      </c>
      <c r="H29" s="91" t="s">
        <v>130</v>
      </c>
      <c r="I29" s="92">
        <v>1320</v>
      </c>
      <c r="J29" s="92">
        <v>1306.2</v>
      </c>
      <c r="K29" s="92">
        <v>1320</v>
      </c>
      <c r="L29" s="92">
        <v>672.1</v>
      </c>
      <c r="M29" s="23">
        <f t="shared" si="3"/>
        <v>647.9</v>
      </c>
    </row>
    <row r="30" spans="1:16" ht="45" outlineLevel="1" x14ac:dyDescent="0.25">
      <c r="A30" s="87">
        <f t="shared" si="4"/>
        <v>26</v>
      </c>
      <c r="B30" s="88" t="s">
        <v>124</v>
      </c>
      <c r="C30" s="76">
        <f t="shared" si="2"/>
        <v>3671</v>
      </c>
      <c r="D30" s="90"/>
      <c r="E30" s="90"/>
      <c r="F30" s="89">
        <v>3671</v>
      </c>
      <c r="G30" s="25" t="s">
        <v>51</v>
      </c>
      <c r="H30" s="91" t="s">
        <v>131</v>
      </c>
      <c r="I30" s="92">
        <v>800</v>
      </c>
      <c r="J30" s="92">
        <v>755</v>
      </c>
      <c r="K30" s="92">
        <v>800</v>
      </c>
      <c r="L30" s="92">
        <v>353.1</v>
      </c>
      <c r="M30" s="23">
        <f t="shared" si="3"/>
        <v>446.9</v>
      </c>
    </row>
    <row r="31" spans="1:16" ht="45" outlineLevel="1" x14ac:dyDescent="0.25">
      <c r="A31" s="87">
        <f t="shared" si="4"/>
        <v>27</v>
      </c>
      <c r="B31" s="88" t="s">
        <v>125</v>
      </c>
      <c r="C31" s="76">
        <f t="shared" si="2"/>
        <v>3662</v>
      </c>
      <c r="D31" s="90"/>
      <c r="E31" s="90"/>
      <c r="F31" s="89">
        <v>3662</v>
      </c>
      <c r="G31" s="25" t="s">
        <v>127</v>
      </c>
      <c r="H31" s="91" t="s">
        <v>132</v>
      </c>
      <c r="I31" s="92">
        <v>1300</v>
      </c>
      <c r="J31" s="92">
        <v>1277.3</v>
      </c>
      <c r="K31" s="92">
        <v>1300</v>
      </c>
      <c r="L31" s="92">
        <v>1207.8</v>
      </c>
      <c r="M31" s="23">
        <f t="shared" si="3"/>
        <v>92.200000000000045</v>
      </c>
    </row>
    <row r="32" spans="1:16" ht="45.75" outlineLevel="1" thickBot="1" x14ac:dyDescent="0.3">
      <c r="A32" s="87">
        <f t="shared" si="4"/>
        <v>28</v>
      </c>
      <c r="B32" s="88" t="s">
        <v>126</v>
      </c>
      <c r="C32" s="76">
        <f t="shared" si="2"/>
        <v>3632</v>
      </c>
      <c r="D32" s="90"/>
      <c r="E32" s="90"/>
      <c r="F32" s="89">
        <v>3632</v>
      </c>
      <c r="G32" s="25" t="s">
        <v>51</v>
      </c>
      <c r="H32" s="91" t="s">
        <v>133</v>
      </c>
      <c r="I32" s="92">
        <v>900</v>
      </c>
      <c r="J32" s="92">
        <v>673.8</v>
      </c>
      <c r="K32" s="92">
        <v>900</v>
      </c>
      <c r="L32" s="92">
        <v>639.1</v>
      </c>
      <c r="M32" s="23">
        <f t="shared" si="3"/>
        <v>260.89999999999998</v>
      </c>
    </row>
    <row r="33" spans="1:14" ht="38.25" thickBot="1" x14ac:dyDescent="0.3">
      <c r="A33" s="43" t="s">
        <v>48</v>
      </c>
      <c r="B33" s="59" t="s">
        <v>55</v>
      </c>
      <c r="C33" s="78">
        <f t="shared" si="2"/>
        <v>84288</v>
      </c>
      <c r="D33" s="78">
        <f>SUM(D5:D32)</f>
        <v>0</v>
      </c>
      <c r="E33" s="78">
        <f>SUM(E5:E32)</f>
        <v>0</v>
      </c>
      <c r="F33" s="78">
        <f>SUM(F5:F32)</f>
        <v>84288</v>
      </c>
      <c r="G33" s="60" t="s">
        <v>48</v>
      </c>
      <c r="H33" s="60" t="s">
        <v>48</v>
      </c>
      <c r="I33" s="78">
        <f t="shared" ref="I33:M33" si="5">SUM(I5:I32)</f>
        <v>21501.599999999999</v>
      </c>
      <c r="J33" s="126">
        <f t="shared" si="5"/>
        <v>19496</v>
      </c>
      <c r="K33" s="126">
        <f t="shared" si="5"/>
        <v>21501.599999999999</v>
      </c>
      <c r="L33" s="78">
        <f t="shared" si="5"/>
        <v>18152.599999999999</v>
      </c>
      <c r="M33" s="78">
        <f t="shared" si="5"/>
        <v>3349.0000000000005</v>
      </c>
      <c r="N33" s="2">
        <v>1</v>
      </c>
    </row>
  </sheetData>
  <autoFilter ref="A4:R33"/>
  <mergeCells count="8">
    <mergeCell ref="A1:M1"/>
    <mergeCell ref="A2:M2"/>
    <mergeCell ref="A3:A4"/>
    <mergeCell ref="B3:B4"/>
    <mergeCell ref="C3:C4"/>
    <mergeCell ref="D3:F3"/>
    <mergeCell ref="G3:G4"/>
    <mergeCell ref="H3:M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Admin</cp:lastModifiedBy>
  <cp:lastPrinted>2023-07-10T10:48:19Z</cp:lastPrinted>
  <dcterms:created xsi:type="dcterms:W3CDTF">2022-01-19T11:06:14Z</dcterms:created>
  <dcterms:modified xsi:type="dcterms:W3CDTF">2024-01-04T06:36:57Z</dcterms:modified>
</cp:coreProperties>
</file>